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Jeff.G\Desktop\Job Application\Work Sample\"/>
    </mc:Choice>
  </mc:AlternateContent>
  <xr:revisionPtr revIDLastSave="0" documentId="13_ncr:1_{2F9FF949-63E8-4AD3-81FD-840D266A8D80}" xr6:coauthVersionLast="47" xr6:coauthVersionMax="47" xr10:uidLastSave="{00000000-0000-0000-0000-000000000000}"/>
  <bookViews>
    <workbookView xWindow="28702" yWindow="-98" windowWidth="28995" windowHeight="15675" firstSheet="1" activeTab="1" xr2:uid="{00000000-000D-0000-FFFF-FFFF00000000}"/>
  </bookViews>
  <sheets>
    <sheet name="Inputs" sheetId="8" state="hidden" r:id="rId1"/>
    <sheet name="Cover" sheetId="7" r:id="rId2"/>
    <sheet name="Revenue Buildup" sheetId="6" r:id="rId3"/>
    <sheet name="Valuation" sheetId="5" r:id="rId4"/>
    <sheet name="IS" sheetId="3" r:id="rId5"/>
    <sheet name="BS" sheetId="4" r:id="rId6"/>
    <sheet name="CF" sheetId="2" r:id="rId7"/>
  </sheets>
  <definedNames>
    <definedName name="Name">Inputs!$E$3</definedName>
    <definedName name="_xlnm.Print_Area" localSheetId="5">BS!$A$1:$AM$61</definedName>
    <definedName name="_xlnm.Print_Area" localSheetId="6">CF!$A$1:$AM$46</definedName>
    <definedName name="_xlnm.Print_Area" localSheetId="1">Cover!$B$2:$H$15</definedName>
    <definedName name="_xlnm.Print_Area" localSheetId="0">Inputs!$B$2:$L$21</definedName>
    <definedName name="_xlnm.Print_Area" localSheetId="4">IS!$A$1:$AM$39</definedName>
    <definedName name="_xlnm.Print_Area" localSheetId="2">'Revenue Buildup'!$A$1:$AM$73</definedName>
    <definedName name="_xlnm.Print_Area" localSheetId="3">Valuation!$A$1:$I$32</definedName>
    <definedName name="Subheader">Inputs!$E$5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 l="1"/>
  <c r="B4" i="4"/>
  <c r="B4" i="3"/>
  <c r="B4" i="6"/>
  <c r="C3" i="7"/>
  <c r="B1" i="2"/>
  <c r="B1" i="4"/>
  <c r="B1" i="3"/>
  <c r="B1" i="5"/>
  <c r="B1" i="6"/>
  <c r="AD19" i="6"/>
  <c r="G12" i="5"/>
  <c r="H20" i="2" l="1"/>
  <c r="H16" i="4"/>
  <c r="H17" i="3"/>
  <c r="H18" i="3"/>
  <c r="H19" i="3"/>
  <c r="H20" i="3"/>
  <c r="H19" i="6"/>
  <c r="AK37" i="4"/>
  <c r="AJ37" i="4"/>
  <c r="AI37" i="4"/>
  <c r="AH37" i="4"/>
  <c r="AE37" i="4"/>
  <c r="AD37" i="4"/>
  <c r="AL62" i="6"/>
  <c r="AL61" i="6"/>
  <c r="AL58" i="6" s="1"/>
  <c r="W58" i="6"/>
  <c r="W62" i="6"/>
  <c r="T63" i="6"/>
  <c r="V63" i="6"/>
  <c r="U63" i="6"/>
  <c r="S63" i="6"/>
  <c r="M63" i="6"/>
  <c r="AD58" i="6"/>
  <c r="AE58" i="6" s="1"/>
  <c r="AF58" i="6" s="1"/>
  <c r="AH58" i="6" s="1"/>
  <c r="AJ58" i="6" s="1"/>
  <c r="AK58" i="6" s="1"/>
  <c r="AC61" i="6"/>
  <c r="AD61" i="6" s="1"/>
  <c r="AE61" i="6" s="1"/>
  <c r="AF61" i="6" s="1"/>
  <c r="X61" i="6"/>
  <c r="Y61" i="6" s="1"/>
  <c r="Z61" i="6" s="1"/>
  <c r="AA61" i="6" s="1"/>
  <c r="AA63" i="6"/>
  <c r="Z63" i="6"/>
  <c r="Y63" i="6"/>
  <c r="X63" i="6"/>
  <c r="AB62" i="6"/>
  <c r="AG62" i="6" s="1"/>
  <c r="AB58" i="6"/>
  <c r="AI23" i="6"/>
  <c r="AJ23" i="6" s="1"/>
  <c r="AK23" i="6" s="1"/>
  <c r="AI58" i="6" l="1"/>
  <c r="W63" i="6"/>
  <c r="AH62" i="6"/>
  <c r="AI62" i="6" s="1"/>
  <c r="AJ62" i="6" s="1"/>
  <c r="AK62" i="6" s="1"/>
  <c r="AC62" i="6"/>
  <c r="AD62" i="6" s="1"/>
  <c r="AE62" i="6" s="1"/>
  <c r="AF62" i="6" s="1"/>
  <c r="AG58" i="6"/>
  <c r="AG63" i="6" s="1"/>
  <c r="AB63" i="6"/>
  <c r="AH26" i="3" l="1"/>
  <c r="W59" i="6"/>
  <c r="W60" i="6" s="1"/>
  <c r="AF37" i="4"/>
  <c r="AJ31" i="2"/>
  <c r="AK31" i="2" s="1"/>
  <c r="AI39" i="2"/>
  <c r="AI38" i="2"/>
  <c r="AD39" i="2"/>
  <c r="AE39" i="2" s="1"/>
  <c r="AD38" i="2"/>
  <c r="AE38" i="2" s="1"/>
  <c r="AE34" i="2"/>
  <c r="AF34" i="2" s="1"/>
  <c r="AH34" i="2" s="1"/>
  <c r="AE33" i="2"/>
  <c r="AF33" i="2" s="1"/>
  <c r="AH33" i="2" s="1"/>
  <c r="AE32" i="2"/>
  <c r="AF32" i="2" s="1"/>
  <c r="AH32" i="2" s="1"/>
  <c r="AE31" i="2"/>
  <c r="AF31" i="2" s="1"/>
  <c r="AC36" i="2"/>
  <c r="AD35" i="2"/>
  <c r="AE35" i="2" s="1"/>
  <c r="AF35" i="2" s="1"/>
  <c r="AH35" i="2" s="1"/>
  <c r="AD34" i="2"/>
  <c r="AD33" i="2"/>
  <c r="AD32" i="2"/>
  <c r="AD30" i="2"/>
  <c r="AE30" i="2" s="1"/>
  <c r="AF30" i="2" s="1"/>
  <c r="AH30" i="2" s="1"/>
  <c r="AD29" i="2"/>
  <c r="AE29" i="2" s="1"/>
  <c r="AF29" i="2" s="1"/>
  <c r="AH29" i="2" s="1"/>
  <c r="AE20" i="2"/>
  <c r="AC25" i="2"/>
  <c r="AD24" i="2"/>
  <c r="AE24" i="2" s="1"/>
  <c r="AF24" i="2" s="1"/>
  <c r="AH24" i="2" s="1"/>
  <c r="AD23" i="2"/>
  <c r="AE23" i="2" s="1"/>
  <c r="AD22" i="2"/>
  <c r="AD21" i="2"/>
  <c r="AI19" i="2"/>
  <c r="AJ19" i="2"/>
  <c r="AK19" i="2"/>
  <c r="AI54" i="4"/>
  <c r="AJ54" i="4" s="1"/>
  <c r="I53" i="4"/>
  <c r="I54" i="4" s="1"/>
  <c r="J53" i="4"/>
  <c r="J54" i="4" s="1"/>
  <c r="N53" i="4"/>
  <c r="N54" i="4" s="1"/>
  <c r="S53" i="4"/>
  <c r="S54" i="4" s="1"/>
  <c r="T53" i="4"/>
  <c r="T54" i="4" s="1"/>
  <c r="U53" i="4"/>
  <c r="U54" i="4" s="1"/>
  <c r="V53" i="4"/>
  <c r="V54" i="4" s="1"/>
  <c r="X53" i="4"/>
  <c r="X54" i="4" s="1"/>
  <c r="Y53" i="4"/>
  <c r="Y54" i="4" s="1"/>
  <c r="Z53" i="4"/>
  <c r="Z54" i="4" s="1"/>
  <c r="AA53" i="4"/>
  <c r="AA54" i="4" s="1"/>
  <c r="AC53" i="4"/>
  <c r="AC54" i="4" s="1"/>
  <c r="AD54" i="4" s="1"/>
  <c r="D53" i="4"/>
  <c r="D54" i="4" s="1"/>
  <c r="AE14" i="2"/>
  <c r="AC14" i="2"/>
  <c r="AB39" i="2"/>
  <c r="AB38" i="2"/>
  <c r="Y40" i="2"/>
  <c r="Z40" i="2"/>
  <c r="AA40" i="2"/>
  <c r="AB34" i="2"/>
  <c r="AB33" i="2"/>
  <c r="AB32" i="2"/>
  <c r="X36" i="2"/>
  <c r="Y35" i="2"/>
  <c r="Y31" i="2"/>
  <c r="Z31" i="2" s="1"/>
  <c r="AA31" i="2" s="1"/>
  <c r="Z30" i="2"/>
  <c r="AA30" i="2" s="1"/>
  <c r="AA29" i="2"/>
  <c r="AB29" i="2" s="1"/>
  <c r="Y28" i="2"/>
  <c r="X14" i="2"/>
  <c r="Y14" i="2" s="1"/>
  <c r="Z14" i="2" s="1"/>
  <c r="AA14" i="2" s="1"/>
  <c r="Y13" i="2"/>
  <c r="Z13" i="2" s="1"/>
  <c r="AA13" i="2" s="1"/>
  <c r="T40" i="2"/>
  <c r="U40" i="2"/>
  <c r="V40" i="2"/>
  <c r="W39" i="2"/>
  <c r="W38" i="2"/>
  <c r="T35" i="2"/>
  <c r="U35" i="2" s="1"/>
  <c r="T34" i="2"/>
  <c r="U34" i="2" s="1"/>
  <c r="T33" i="2"/>
  <c r="U33" i="2" s="1"/>
  <c r="T32" i="2"/>
  <c r="U32" i="2" s="1"/>
  <c r="T31" i="2"/>
  <c r="U31" i="2" s="1"/>
  <c r="T30" i="2"/>
  <c r="U30" i="2" s="1"/>
  <c r="V30" i="2" s="1"/>
  <c r="T29" i="2"/>
  <c r="U29" i="2" s="1"/>
  <c r="V29" i="2" s="1"/>
  <c r="T28" i="2"/>
  <c r="AB24" i="2"/>
  <c r="AB23" i="2"/>
  <c r="AB22" i="2"/>
  <c r="AB21" i="2"/>
  <c r="AB20" i="2"/>
  <c r="AB19" i="2"/>
  <c r="AB18" i="2"/>
  <c r="AB53" i="4" s="1"/>
  <c r="AB54" i="4" s="1"/>
  <c r="AA25" i="2"/>
  <c r="Z25" i="2"/>
  <c r="Y25" i="2"/>
  <c r="X25" i="2"/>
  <c r="W24" i="2"/>
  <c r="W23" i="2"/>
  <c r="W22" i="2"/>
  <c r="W21" i="2"/>
  <c r="W20" i="2"/>
  <c r="W19" i="2"/>
  <c r="W18" i="2"/>
  <c r="O40" i="2"/>
  <c r="P40" i="2"/>
  <c r="Q40" i="2"/>
  <c r="R39" i="2"/>
  <c r="R38" i="2"/>
  <c r="J40" i="2"/>
  <c r="K40" i="2"/>
  <c r="I40" i="2"/>
  <c r="M39" i="2"/>
  <c r="M38" i="2"/>
  <c r="O31" i="2"/>
  <c r="P31" i="2" s="1"/>
  <c r="O30" i="2"/>
  <c r="O36" i="2" s="1"/>
  <c r="R35" i="2"/>
  <c r="R34" i="2"/>
  <c r="R33" i="2"/>
  <c r="R32" i="2"/>
  <c r="R29" i="2"/>
  <c r="R28" i="2"/>
  <c r="M35" i="2"/>
  <c r="M34" i="2"/>
  <c r="M33" i="2"/>
  <c r="M32" i="2"/>
  <c r="M31" i="2"/>
  <c r="M29" i="2"/>
  <c r="S36" i="2"/>
  <c r="N36" i="2"/>
  <c r="I36" i="2"/>
  <c r="K31" i="2"/>
  <c r="L31" i="2" s="1"/>
  <c r="J30" i="2"/>
  <c r="J28" i="2"/>
  <c r="K28" i="2" s="1"/>
  <c r="R23" i="2"/>
  <c r="R22" i="2"/>
  <c r="R21" i="2"/>
  <c r="R20" i="2"/>
  <c r="V25" i="2"/>
  <c r="U25" i="2"/>
  <c r="T25" i="2"/>
  <c r="S25" i="2"/>
  <c r="O24" i="2"/>
  <c r="P24" i="2" s="1"/>
  <c r="Q24" i="2" s="1"/>
  <c r="N19" i="2"/>
  <c r="O19" i="2" s="1"/>
  <c r="P19" i="2" s="1"/>
  <c r="Q19" i="2" s="1"/>
  <c r="O18" i="2"/>
  <c r="P18" i="2" s="1"/>
  <c r="Q18" i="2" s="1"/>
  <c r="Q25" i="2" s="1"/>
  <c r="I25" i="2"/>
  <c r="M24" i="2"/>
  <c r="M23" i="2"/>
  <c r="M22" i="2"/>
  <c r="M21" i="2"/>
  <c r="M20" i="2"/>
  <c r="I19" i="2"/>
  <c r="J18" i="2"/>
  <c r="W14" i="2"/>
  <c r="W13" i="2"/>
  <c r="R14" i="2"/>
  <c r="R13" i="2"/>
  <c r="I14" i="2"/>
  <c r="J13" i="2"/>
  <c r="K13" i="2" s="1"/>
  <c r="H40" i="2"/>
  <c r="H39" i="2"/>
  <c r="H38" i="2"/>
  <c r="D36" i="2"/>
  <c r="H29" i="2"/>
  <c r="H32" i="2"/>
  <c r="H33" i="2"/>
  <c r="H34" i="2"/>
  <c r="H35" i="2"/>
  <c r="H28" i="2"/>
  <c r="G31" i="2"/>
  <c r="H31" i="2" s="1"/>
  <c r="E30" i="2"/>
  <c r="F30" i="2" s="1"/>
  <c r="F36" i="2" s="1"/>
  <c r="H21" i="2"/>
  <c r="H22" i="2"/>
  <c r="H23" i="2"/>
  <c r="H24" i="2"/>
  <c r="D19" i="2"/>
  <c r="E18" i="2"/>
  <c r="H14" i="2"/>
  <c r="H13" i="2"/>
  <c r="Y12" i="2"/>
  <c r="T12" i="2"/>
  <c r="U12" i="2" s="1"/>
  <c r="V12" i="2" s="1"/>
  <c r="O12" i="2"/>
  <c r="P12" i="2" s="1"/>
  <c r="Q12" i="2" s="1"/>
  <c r="J12" i="2"/>
  <c r="E12" i="2"/>
  <c r="Y11" i="2"/>
  <c r="Z11" i="2" s="1"/>
  <c r="AA11" i="2" s="1"/>
  <c r="T11" i="2"/>
  <c r="U11" i="2" s="1"/>
  <c r="V11" i="2" s="1"/>
  <c r="O11" i="2"/>
  <c r="P11" i="2" s="1"/>
  <c r="Q11" i="2" s="1"/>
  <c r="J11" i="2"/>
  <c r="E11" i="2"/>
  <c r="AE9" i="2"/>
  <c r="AF9" i="2" s="1"/>
  <c r="AH9" i="2" s="1"/>
  <c r="AB9" i="2"/>
  <c r="W9" i="2"/>
  <c r="R9" i="2"/>
  <c r="M9" i="2"/>
  <c r="H9" i="2"/>
  <c r="AD8" i="2"/>
  <c r="AE8" i="2" s="1"/>
  <c r="AF8" i="2" s="1"/>
  <c r="AH8" i="2" s="1"/>
  <c r="AB8" i="2"/>
  <c r="W8" i="2"/>
  <c r="R8" i="2"/>
  <c r="M8" i="2"/>
  <c r="H8" i="2"/>
  <c r="AF56" i="4"/>
  <c r="AE56" i="4"/>
  <c r="K57" i="4"/>
  <c r="L57" i="4" s="1"/>
  <c r="M57" i="4" s="1"/>
  <c r="N57" i="4" s="1"/>
  <c r="O57" i="4" s="1"/>
  <c r="P57" i="4" s="1"/>
  <c r="Q57" i="4" s="1"/>
  <c r="R57" i="4" s="1"/>
  <c r="J57" i="4"/>
  <c r="E57" i="4"/>
  <c r="F57" i="4" s="1"/>
  <c r="G57" i="4" s="1"/>
  <c r="H57" i="4" s="1"/>
  <c r="I57" i="4" s="1"/>
  <c r="X55" i="4"/>
  <c r="X56" i="4" s="1"/>
  <c r="Y55" i="4"/>
  <c r="Y56" i="4" s="1"/>
  <c r="Z55" i="4"/>
  <c r="Z56" i="4" s="1"/>
  <c r="AA55" i="4"/>
  <c r="AA56" i="4" s="1"/>
  <c r="AC55" i="4"/>
  <c r="AC56" i="4" s="1"/>
  <c r="I55" i="4"/>
  <c r="I56" i="4" s="1"/>
  <c r="N55" i="4"/>
  <c r="N56" i="4" s="1"/>
  <c r="S55" i="4"/>
  <c r="S56" i="4" s="1"/>
  <c r="T55" i="4"/>
  <c r="T56" i="4" s="1"/>
  <c r="U55" i="4"/>
  <c r="U56" i="4" s="1"/>
  <c r="V55" i="4"/>
  <c r="V56" i="4" s="1"/>
  <c r="D55" i="4"/>
  <c r="D56" i="4" s="1"/>
  <c r="AB7" i="2"/>
  <c r="AB55" i="4" s="1"/>
  <c r="AB56" i="4" s="1"/>
  <c r="W7" i="2"/>
  <c r="O7" i="2"/>
  <c r="P7" i="2" s="1"/>
  <c r="Q7" i="2" s="1"/>
  <c r="Q55" i="4" s="1"/>
  <c r="Q56" i="4" s="1"/>
  <c r="J7" i="2"/>
  <c r="J55" i="4" s="1"/>
  <c r="J56" i="4" s="1"/>
  <c r="E7" i="2"/>
  <c r="E55" i="4" s="1"/>
  <c r="E56" i="4" s="1"/>
  <c r="I6" i="2"/>
  <c r="J6" i="2"/>
  <c r="K6" i="2"/>
  <c r="L6" i="2"/>
  <c r="M6" i="2"/>
  <c r="N6" i="2"/>
  <c r="N15" i="2" s="1"/>
  <c r="O6" i="2"/>
  <c r="P6" i="2"/>
  <c r="Q6" i="2"/>
  <c r="R6" i="2"/>
  <c r="S6" i="2"/>
  <c r="S15" i="2" s="1"/>
  <c r="T6" i="2"/>
  <c r="U6" i="2"/>
  <c r="V6" i="2"/>
  <c r="W6" i="2"/>
  <c r="X6" i="2"/>
  <c r="Y6" i="2"/>
  <c r="Z6" i="2"/>
  <c r="AA6" i="2"/>
  <c r="AB6" i="2"/>
  <c r="AC6" i="2"/>
  <c r="E6" i="2"/>
  <c r="F6" i="2"/>
  <c r="G6" i="2"/>
  <c r="D6" i="2"/>
  <c r="D15" i="2" s="1"/>
  <c r="T57" i="4"/>
  <c r="U57" i="4" s="1"/>
  <c r="V57" i="4" s="1"/>
  <c r="W57" i="4" s="1"/>
  <c r="X57" i="4" s="1"/>
  <c r="Y57" i="4" s="1"/>
  <c r="Z57" i="4" s="1"/>
  <c r="AA57" i="4" s="1"/>
  <c r="AB57" i="4" s="1"/>
  <c r="AH50" i="4"/>
  <c r="AD50" i="4"/>
  <c r="AE50" i="4"/>
  <c r="AF50" i="4"/>
  <c r="AH49" i="4"/>
  <c r="AI49" i="4" s="1"/>
  <c r="AE49" i="4"/>
  <c r="AC49" i="4"/>
  <c r="AC50" i="4" s="1"/>
  <c r="N49" i="4"/>
  <c r="O49" i="4"/>
  <c r="P49" i="4"/>
  <c r="Q49" i="4"/>
  <c r="S49" i="4"/>
  <c r="T49" i="4"/>
  <c r="U49" i="4"/>
  <c r="V49" i="4"/>
  <c r="X49" i="4"/>
  <c r="Y49" i="4"/>
  <c r="Z49" i="4"/>
  <c r="AA49" i="4"/>
  <c r="I49" i="4"/>
  <c r="J49" i="4"/>
  <c r="K49" i="4"/>
  <c r="L49" i="4"/>
  <c r="E49" i="4"/>
  <c r="F49" i="4"/>
  <c r="G49" i="4"/>
  <c r="D49" i="4"/>
  <c r="AE39" i="4"/>
  <c r="AF39" i="4"/>
  <c r="AH39" i="4" s="1"/>
  <c r="AJ39" i="4" s="1"/>
  <c r="AD39" i="4"/>
  <c r="AD12" i="4"/>
  <c r="AE12" i="4" s="1"/>
  <c r="AF12" i="4" s="1"/>
  <c r="AI23" i="3"/>
  <c r="AD23" i="3"/>
  <c r="AE23" i="3" s="1"/>
  <c r="AD19" i="3"/>
  <c r="AE19" i="3" s="1"/>
  <c r="AD18" i="3"/>
  <c r="AE17" i="3"/>
  <c r="AF17" i="3" s="1"/>
  <c r="AH17" i="3" s="1"/>
  <c r="AI17" i="3" s="1"/>
  <c r="AJ17" i="3" s="1"/>
  <c r="AK17" i="3" s="1"/>
  <c r="G14" i="3"/>
  <c r="H14" i="3" s="1"/>
  <c r="G13" i="3"/>
  <c r="H13" i="3" s="1"/>
  <c r="V14" i="3"/>
  <c r="W14" i="3" s="1"/>
  <c r="Q14" i="3"/>
  <c r="R14" i="3" s="1"/>
  <c r="Q13" i="3"/>
  <c r="R13" i="3" s="1"/>
  <c r="V13" i="3"/>
  <c r="W13" i="3" s="1"/>
  <c r="AA13" i="3"/>
  <c r="AB13" i="3" s="1"/>
  <c r="G15" i="5"/>
  <c r="G14" i="5"/>
  <c r="G13" i="5"/>
  <c r="E15" i="5"/>
  <c r="E14" i="5"/>
  <c r="E13" i="5"/>
  <c r="E12" i="5"/>
  <c r="D15" i="5"/>
  <c r="D14" i="5"/>
  <c r="D13" i="5"/>
  <c r="D12" i="5"/>
  <c r="AA26" i="3"/>
  <c r="AD26" i="3"/>
  <c r="AE26" i="3" s="1"/>
  <c r="AF26" i="3" s="1"/>
  <c r="AG26" i="3" s="1"/>
  <c r="P53" i="4" l="1"/>
  <c r="P54" i="4" s="1"/>
  <c r="AG35" i="2"/>
  <c r="F18" i="2"/>
  <c r="F53" i="4" s="1"/>
  <c r="F54" i="4" s="1"/>
  <c r="R11" i="2"/>
  <c r="D25" i="2"/>
  <c r="J36" i="2"/>
  <c r="P15" i="2"/>
  <c r="I15" i="2"/>
  <c r="I42" i="2" s="1"/>
  <c r="T36" i="2"/>
  <c r="E15" i="2"/>
  <c r="AC15" i="2"/>
  <c r="W25" i="2"/>
  <c r="AG33" i="2"/>
  <c r="AB59" i="6"/>
  <c r="R58" i="6"/>
  <c r="R63" i="6" s="1"/>
  <c r="AI24" i="2"/>
  <c r="AJ24" i="2" s="1"/>
  <c r="AK24" i="2" s="1"/>
  <c r="AI30" i="2"/>
  <c r="AJ30" i="2" s="1"/>
  <c r="AK30" i="2" s="1"/>
  <c r="AI35" i="2"/>
  <c r="AJ35" i="2" s="1"/>
  <c r="AK35" i="2" s="1"/>
  <c r="AF38" i="2"/>
  <c r="AG38" i="2" s="1"/>
  <c r="AF23" i="2"/>
  <c r="AH23" i="2" s="1"/>
  <c r="AI34" i="2"/>
  <c r="AJ34" i="2" s="1"/>
  <c r="AK34" i="2" s="1"/>
  <c r="AL34" i="2"/>
  <c r="AF39" i="2"/>
  <c r="AG39" i="2" s="1"/>
  <c r="AG20" i="2"/>
  <c r="AI29" i="2"/>
  <c r="AJ29" i="2" s="1"/>
  <c r="AK29" i="2" s="1"/>
  <c r="AL29" i="2"/>
  <c r="AI32" i="2"/>
  <c r="AJ32" i="2" s="1"/>
  <c r="AK32" i="2" s="1"/>
  <c r="AI33" i="2"/>
  <c r="AJ33" i="2" s="1"/>
  <c r="AK33" i="2" s="1"/>
  <c r="AG34" i="2"/>
  <c r="AF14" i="2"/>
  <c r="AH14" i="2" s="1"/>
  <c r="O53" i="4"/>
  <c r="O54" i="4" s="1"/>
  <c r="AG24" i="2"/>
  <c r="AE22" i="2"/>
  <c r="AF22" i="2" s="1"/>
  <c r="AH22" i="2" s="1"/>
  <c r="AG29" i="2"/>
  <c r="R12" i="2"/>
  <c r="E53" i="4"/>
  <c r="E54" i="4" s="1"/>
  <c r="AG30" i="2"/>
  <c r="AJ38" i="2"/>
  <c r="AK38" i="2" s="1"/>
  <c r="AF20" i="2"/>
  <c r="AH20" i="2" s="1"/>
  <c r="R18" i="2"/>
  <c r="AG32" i="2"/>
  <c r="R19" i="2"/>
  <c r="W53" i="4"/>
  <c r="W54" i="4" s="1"/>
  <c r="V15" i="2"/>
  <c r="U15" i="2"/>
  <c r="AE21" i="2"/>
  <c r="AF21" i="2" s="1"/>
  <c r="AH21" i="2" s="1"/>
  <c r="T15" i="2"/>
  <c r="T42" i="2" s="1"/>
  <c r="R24" i="2"/>
  <c r="O15" i="2"/>
  <c r="Z12" i="2"/>
  <c r="AA12" i="2" s="1"/>
  <c r="AA15" i="2" s="1"/>
  <c r="W12" i="2"/>
  <c r="Q53" i="4"/>
  <c r="Q54" i="4" s="1"/>
  <c r="AK54" i="4"/>
  <c r="AH12" i="4"/>
  <c r="AI12" i="4" s="1"/>
  <c r="AJ12" i="4" s="1"/>
  <c r="AK12" i="4" s="1"/>
  <c r="AL12" i="4" s="1"/>
  <c r="AG12" i="4"/>
  <c r="AJ49" i="4"/>
  <c r="AI50" i="4"/>
  <c r="AE54" i="4"/>
  <c r="AG56" i="4"/>
  <c r="AG31" i="2"/>
  <c r="AJ39" i="2"/>
  <c r="AK39" i="2" s="1"/>
  <c r="AJ50" i="4"/>
  <c r="AK49" i="4"/>
  <c r="AI8" i="2"/>
  <c r="AJ8" i="2" s="1"/>
  <c r="AK8" i="2" s="1"/>
  <c r="D42" i="2"/>
  <c r="D44" i="2" s="1"/>
  <c r="AI9" i="2"/>
  <c r="AJ9" i="2" s="1"/>
  <c r="AK9" i="2" s="1"/>
  <c r="AL9" i="2"/>
  <c r="Y36" i="2"/>
  <c r="AG9" i="2"/>
  <c r="Q15" i="2"/>
  <c r="W55" i="4"/>
  <c r="W56" i="4" s="1"/>
  <c r="O25" i="2"/>
  <c r="AG8" i="2"/>
  <c r="E36" i="2"/>
  <c r="AB25" i="2"/>
  <c r="N25" i="2"/>
  <c r="Y15" i="2"/>
  <c r="P25" i="2"/>
  <c r="AB31" i="2"/>
  <c r="P55" i="4"/>
  <c r="P56" i="4" s="1"/>
  <c r="Z28" i="2"/>
  <c r="R7" i="2"/>
  <c r="R55" i="4" s="1"/>
  <c r="R56" i="4" s="1"/>
  <c r="AB30" i="2"/>
  <c r="O55" i="4"/>
  <c r="O56" i="4" s="1"/>
  <c r="AB13" i="2"/>
  <c r="Z35" i="2"/>
  <c r="AA35" i="2" s="1"/>
  <c r="X15" i="2"/>
  <c r="W11" i="2"/>
  <c r="AB14" i="2"/>
  <c r="V31" i="2"/>
  <c r="W31" i="2" s="1"/>
  <c r="V33" i="2"/>
  <c r="W33" i="2"/>
  <c r="W30" i="2"/>
  <c r="V32" i="2"/>
  <c r="W32" i="2" s="1"/>
  <c r="V34" i="2"/>
  <c r="W34" i="2" s="1"/>
  <c r="V35" i="2"/>
  <c r="W35" i="2" s="1"/>
  <c r="W29" i="2"/>
  <c r="U28" i="2"/>
  <c r="U36" i="2" s="1"/>
  <c r="Q31" i="2"/>
  <c r="R31" i="2" s="1"/>
  <c r="P30" i="2"/>
  <c r="L28" i="2"/>
  <c r="K30" i="2"/>
  <c r="K36" i="2" s="1"/>
  <c r="K18" i="2"/>
  <c r="K53" i="4" s="1"/>
  <c r="K54" i="4" s="1"/>
  <c r="J19" i="2"/>
  <c r="L13" i="2"/>
  <c r="M13" i="2" s="1"/>
  <c r="J14" i="2"/>
  <c r="J15" i="2" s="1"/>
  <c r="G30" i="2"/>
  <c r="G36" i="2" s="1"/>
  <c r="G18" i="2"/>
  <c r="G53" i="4" s="1"/>
  <c r="G54" i="4" s="1"/>
  <c r="E19" i="2"/>
  <c r="E25" i="2" s="1"/>
  <c r="F19" i="2"/>
  <c r="F25" i="2" s="1"/>
  <c r="K12" i="2"/>
  <c r="L12" i="2" s="1"/>
  <c r="F12" i="2"/>
  <c r="G12" i="2" s="1"/>
  <c r="AB11" i="2"/>
  <c r="K11" i="2"/>
  <c r="F11" i="2"/>
  <c r="K7" i="2"/>
  <c r="K55" i="4" s="1"/>
  <c r="K56" i="4" s="1"/>
  <c r="F7" i="2"/>
  <c r="AG37" i="4"/>
  <c r="AG39" i="4"/>
  <c r="AI39" i="4" s="1"/>
  <c r="AK39" i="4" s="1"/>
  <c r="AL39" i="4"/>
  <c r="AG17" i="3"/>
  <c r="AE18" i="3"/>
  <c r="AF18" i="3" s="1"/>
  <c r="AH18" i="3" s="1"/>
  <c r="AF19" i="3"/>
  <c r="AH19" i="3" s="1"/>
  <c r="AF23" i="3"/>
  <c r="AJ23" i="3"/>
  <c r="AL17" i="3"/>
  <c r="AI26" i="3"/>
  <c r="H12" i="2" l="1"/>
  <c r="AG23" i="2"/>
  <c r="M12" i="2"/>
  <c r="Y42" i="2"/>
  <c r="AG14" i="2"/>
  <c r="Z15" i="2"/>
  <c r="U42" i="2"/>
  <c r="AL30" i="2"/>
  <c r="H18" i="2"/>
  <c r="AL32" i="2"/>
  <c r="O42" i="2"/>
  <c r="R15" i="2"/>
  <c r="E42" i="2"/>
  <c r="AL24" i="2"/>
  <c r="AG59" i="6"/>
  <c r="AB60" i="6"/>
  <c r="AB12" i="2"/>
  <c r="AB15" i="2" s="1"/>
  <c r="AI22" i="2"/>
  <c r="AJ22" i="2" s="1"/>
  <c r="AK22" i="2" s="1"/>
  <c r="AL22" i="2"/>
  <c r="AI23" i="2"/>
  <c r="AJ23" i="2" s="1"/>
  <c r="AK23" i="2" s="1"/>
  <c r="AL23" i="2"/>
  <c r="AI14" i="2"/>
  <c r="AJ14" i="2" s="1"/>
  <c r="AK14" i="2" s="1"/>
  <c r="AG22" i="2"/>
  <c r="AL35" i="2"/>
  <c r="AL33" i="2"/>
  <c r="AG21" i="2"/>
  <c r="R25" i="2"/>
  <c r="R53" i="4"/>
  <c r="R54" i="4" s="1"/>
  <c r="H30" i="2"/>
  <c r="H36" i="2" s="1"/>
  <c r="AI21" i="2"/>
  <c r="AJ21" i="2" s="1"/>
  <c r="AK21" i="2" s="1"/>
  <c r="AI20" i="2"/>
  <c r="W15" i="2"/>
  <c r="AL38" i="2"/>
  <c r="AL54" i="4"/>
  <c r="AF54" i="4"/>
  <c r="AH56" i="4"/>
  <c r="AL39" i="2"/>
  <c r="AK50" i="4"/>
  <c r="L18" i="2"/>
  <c r="L53" i="4" s="1"/>
  <c r="L54" i="4" s="1"/>
  <c r="J25" i="2"/>
  <c r="AL8" i="2"/>
  <c r="AA28" i="2"/>
  <c r="AA36" i="2" s="1"/>
  <c r="AA42" i="2" s="1"/>
  <c r="Z36" i="2"/>
  <c r="AB35" i="2"/>
  <c r="G19" i="2"/>
  <c r="H19" i="2" s="1"/>
  <c r="G25" i="2"/>
  <c r="J42" i="2"/>
  <c r="M28" i="2"/>
  <c r="G7" i="2"/>
  <c r="F55" i="4"/>
  <c r="F56" i="4" s="1"/>
  <c r="L30" i="2"/>
  <c r="L36" i="2" s="1"/>
  <c r="E43" i="2"/>
  <c r="E44" i="2" s="1"/>
  <c r="D7" i="4"/>
  <c r="F15" i="2"/>
  <c r="F42" i="2" s="1"/>
  <c r="M14" i="2"/>
  <c r="V36" i="2"/>
  <c r="V42" i="2" s="1"/>
  <c r="W28" i="2"/>
  <c r="W36" i="2" s="1"/>
  <c r="Q30" i="2"/>
  <c r="Q36" i="2" s="1"/>
  <c r="Q42" i="2" s="1"/>
  <c r="P36" i="2"/>
  <c r="P42" i="2" s="1"/>
  <c r="R30" i="2"/>
  <c r="R36" i="2" s="1"/>
  <c r="K19" i="2"/>
  <c r="L19" i="2" s="1"/>
  <c r="K14" i="2"/>
  <c r="L14" i="2" s="1"/>
  <c r="L11" i="2"/>
  <c r="M11" i="2" s="1"/>
  <c r="G11" i="2"/>
  <c r="H11" i="2" s="1"/>
  <c r="L7" i="2"/>
  <c r="M7" i="2"/>
  <c r="AI19" i="3"/>
  <c r="AJ19" i="3" s="1"/>
  <c r="AK19" i="3" s="1"/>
  <c r="AI18" i="3"/>
  <c r="AJ18" i="3" s="1"/>
  <c r="AK18" i="3" s="1"/>
  <c r="AG19" i="3"/>
  <c r="AG18" i="3"/>
  <c r="AG23" i="3"/>
  <c r="AK23" i="3"/>
  <c r="AL23" i="3" s="1"/>
  <c r="AJ26" i="3"/>
  <c r="Z42" i="2" l="1"/>
  <c r="M30" i="2"/>
  <c r="AG60" i="6"/>
  <c r="M18" i="2"/>
  <c r="M53" i="4" s="1"/>
  <c r="M54" i="4" s="1"/>
  <c r="AL14" i="2"/>
  <c r="AJ20" i="2"/>
  <c r="K15" i="2"/>
  <c r="AL21" i="2"/>
  <c r="AI56" i="4"/>
  <c r="AG54" i="4"/>
  <c r="AL8" i="4"/>
  <c r="F43" i="2"/>
  <c r="F44" i="2" s="1"/>
  <c r="E7" i="4"/>
  <c r="M19" i="2"/>
  <c r="M25" i="2" s="1"/>
  <c r="K25" i="2"/>
  <c r="K42" i="2" s="1"/>
  <c r="AB28" i="2"/>
  <c r="AB36" i="2" s="1"/>
  <c r="M55" i="4"/>
  <c r="M56" i="4" s="1"/>
  <c r="M15" i="2"/>
  <c r="L55" i="4"/>
  <c r="L56" i="4" s="1"/>
  <c r="L15" i="2"/>
  <c r="G55" i="4"/>
  <c r="G56" i="4" s="1"/>
  <c r="G15" i="2"/>
  <c r="G42" i="2" s="1"/>
  <c r="H7" i="2"/>
  <c r="L25" i="2"/>
  <c r="M36" i="2"/>
  <c r="AL18" i="3"/>
  <c r="AL19" i="3"/>
  <c r="AK26" i="3"/>
  <c r="AL26" i="3" s="1"/>
  <c r="E24" i="5" s="1"/>
  <c r="AL63" i="6" l="1"/>
  <c r="AK20" i="2"/>
  <c r="AL20" i="2"/>
  <c r="AJ56" i="4"/>
  <c r="H55" i="4"/>
  <c r="H56" i="4" s="1"/>
  <c r="G43" i="2"/>
  <c r="G44" i="2" s="1"/>
  <c r="G7" i="4" s="1"/>
  <c r="F7" i="4"/>
  <c r="AK56" i="4" l="1"/>
  <c r="AL31" i="2"/>
  <c r="AL56" i="4" l="1"/>
  <c r="AE22" i="4" l="1"/>
  <c r="AF22" i="4" s="1"/>
  <c r="AE36" i="4"/>
  <c r="AE40" i="4" s="1"/>
  <c r="AE35" i="4"/>
  <c r="AF35" i="4" s="1"/>
  <c r="AE38" i="4"/>
  <c r="AF38" i="4" s="1"/>
  <c r="AG38" i="4" s="1"/>
  <c r="AH38" i="4" s="1"/>
  <c r="AI38" i="4" s="1"/>
  <c r="AJ38" i="4" s="1"/>
  <c r="AD38" i="4"/>
  <c r="AD40" i="4" s="1"/>
  <c r="AD36" i="4"/>
  <c r="AD35" i="4"/>
  <c r="AD30" i="4"/>
  <c r="AE30" i="4" s="1"/>
  <c r="AF30" i="4" s="1"/>
  <c r="AD29" i="4"/>
  <c r="AE29" i="4" s="1"/>
  <c r="AF29" i="4" s="1"/>
  <c r="AD27" i="4"/>
  <c r="AE27" i="4" s="1"/>
  <c r="AF27" i="4" s="1"/>
  <c r="AD26" i="4"/>
  <c r="AD25" i="4"/>
  <c r="AE25" i="4" s="1"/>
  <c r="AF25" i="4" s="1"/>
  <c r="AD24" i="4"/>
  <c r="AE24" i="4" s="1"/>
  <c r="AF24" i="4" s="1"/>
  <c r="AD23" i="4"/>
  <c r="AD22" i="4"/>
  <c r="AD31" i="4"/>
  <c r="AE31" i="4" s="1"/>
  <c r="AF31" i="4" s="1"/>
  <c r="AG31" i="4" s="1"/>
  <c r="AH31" i="4" s="1"/>
  <c r="AI31" i="4" s="1"/>
  <c r="AJ31" i="4" s="1"/>
  <c r="AC30" i="4"/>
  <c r="AC16" i="4"/>
  <c r="AD16" i="4" s="1"/>
  <c r="AE16" i="4" s="1"/>
  <c r="AF16" i="4" s="1"/>
  <c r="AG16" i="4" s="1"/>
  <c r="AH16" i="4" s="1"/>
  <c r="AI16" i="4" s="1"/>
  <c r="AJ16" i="4" s="1"/>
  <c r="AK16" i="4" s="1"/>
  <c r="AL16" i="4" s="1"/>
  <c r="AC14" i="4"/>
  <c r="AD14" i="4" s="1"/>
  <c r="AE14" i="4" s="1"/>
  <c r="AF14" i="4" s="1"/>
  <c r="AD9" i="4"/>
  <c r="AD8" i="4"/>
  <c r="AD19" i="2" s="1"/>
  <c r="AB39" i="4"/>
  <c r="AB38" i="4"/>
  <c r="AB37" i="4"/>
  <c r="AB36" i="4"/>
  <c r="AB35" i="4"/>
  <c r="AB29" i="4"/>
  <c r="AB23" i="4"/>
  <c r="AB24" i="4"/>
  <c r="AB25" i="4"/>
  <c r="AB26" i="4"/>
  <c r="AB27" i="4"/>
  <c r="AB22" i="4"/>
  <c r="AB21" i="4"/>
  <c r="AB49" i="4" s="1"/>
  <c r="AB14" i="4"/>
  <c r="AB9" i="4"/>
  <c r="AC40" i="2" s="1"/>
  <c r="AA31" i="4"/>
  <c r="AB31" i="4" s="1"/>
  <c r="Y31" i="4"/>
  <c r="AA30" i="4"/>
  <c r="AB30" i="4" s="1"/>
  <c r="Z30" i="4"/>
  <c r="Y30" i="4"/>
  <c r="X30" i="4"/>
  <c r="AA16" i="4"/>
  <c r="AB16" i="4" s="1"/>
  <c r="Z16" i="4"/>
  <c r="Y16" i="4"/>
  <c r="X16" i="4"/>
  <c r="AA15" i="4"/>
  <c r="AB15" i="4" s="1"/>
  <c r="AA12" i="4"/>
  <c r="AB12" i="4" s="1"/>
  <c r="AA11" i="4"/>
  <c r="AB11" i="4" s="1"/>
  <c r="AA10" i="4"/>
  <c r="AB10" i="4" s="1"/>
  <c r="AA8" i="4"/>
  <c r="AB8" i="4" s="1"/>
  <c r="W36" i="4"/>
  <c r="W37" i="4"/>
  <c r="W38" i="4"/>
  <c r="W39" i="4"/>
  <c r="W35" i="4"/>
  <c r="W31" i="4"/>
  <c r="W29" i="4"/>
  <c r="W23" i="4"/>
  <c r="W24" i="4"/>
  <c r="W25" i="4"/>
  <c r="W26" i="4"/>
  <c r="W27" i="4"/>
  <c r="W22" i="4"/>
  <c r="W21" i="4"/>
  <c r="W49" i="4" s="1"/>
  <c r="L30" i="4"/>
  <c r="M30" i="4" s="1"/>
  <c r="K30" i="4"/>
  <c r="J30" i="4"/>
  <c r="I30" i="4"/>
  <c r="V30" i="4"/>
  <c r="W30" i="4" s="1"/>
  <c r="U30" i="4"/>
  <c r="T30" i="4"/>
  <c r="S30" i="4"/>
  <c r="V16" i="4"/>
  <c r="W16" i="4" s="1"/>
  <c r="U16" i="4"/>
  <c r="T16" i="4"/>
  <c r="S16" i="4"/>
  <c r="R27" i="4"/>
  <c r="R26" i="4"/>
  <c r="R25" i="4"/>
  <c r="R24" i="4"/>
  <c r="R23" i="4"/>
  <c r="R22" i="4"/>
  <c r="R21" i="4"/>
  <c r="R49" i="4" s="1"/>
  <c r="R31" i="4"/>
  <c r="R30" i="4"/>
  <c r="R29" i="4"/>
  <c r="R39" i="4"/>
  <c r="R38" i="4"/>
  <c r="R37" i="4"/>
  <c r="R36" i="4"/>
  <c r="R35" i="4"/>
  <c r="S40" i="4"/>
  <c r="T40" i="4"/>
  <c r="U40" i="4"/>
  <c r="V40" i="4"/>
  <c r="X40" i="4"/>
  <c r="Y40" i="4"/>
  <c r="Z40" i="4"/>
  <c r="AA40" i="4"/>
  <c r="AC40" i="4"/>
  <c r="N40" i="4"/>
  <c r="O40" i="4"/>
  <c r="P40" i="4"/>
  <c r="Q40" i="4"/>
  <c r="J32" i="4"/>
  <c r="J42" i="4" s="1"/>
  <c r="Q30" i="4"/>
  <c r="P30" i="4"/>
  <c r="O30" i="4"/>
  <c r="N30" i="4"/>
  <c r="N28" i="4"/>
  <c r="N32" i="4" s="1"/>
  <c r="W15" i="4"/>
  <c r="W14" i="4"/>
  <c r="W8" i="4"/>
  <c r="W9" i="4"/>
  <c r="X40" i="2" s="1"/>
  <c r="W10" i="4"/>
  <c r="W11" i="4"/>
  <c r="W12" i="4"/>
  <c r="R15" i="4"/>
  <c r="R14" i="4"/>
  <c r="R8" i="4"/>
  <c r="R9" i="4"/>
  <c r="S40" i="2" s="1"/>
  <c r="R10" i="4"/>
  <c r="R11" i="4"/>
  <c r="R12" i="4"/>
  <c r="Q16" i="4"/>
  <c r="R16" i="4" s="1"/>
  <c r="P16" i="4"/>
  <c r="O16" i="4"/>
  <c r="N16" i="4"/>
  <c r="N14" i="4"/>
  <c r="M39" i="4"/>
  <c r="M38" i="4"/>
  <c r="M37" i="4"/>
  <c r="M36" i="4"/>
  <c r="M35" i="4"/>
  <c r="L40" i="4"/>
  <c r="K40" i="4"/>
  <c r="J40" i="4"/>
  <c r="I40" i="4"/>
  <c r="D39" i="4"/>
  <c r="D40" i="4" s="1"/>
  <c r="H38" i="4"/>
  <c r="G39" i="4"/>
  <c r="G40" i="4" s="1"/>
  <c r="H40" i="4" s="1"/>
  <c r="F39" i="4"/>
  <c r="F40" i="4" s="1"/>
  <c r="E39" i="4"/>
  <c r="M31" i="4"/>
  <c r="M29" i="4"/>
  <c r="M22" i="4"/>
  <c r="M23" i="4"/>
  <c r="M24" i="4"/>
  <c r="M25" i="4"/>
  <c r="M26" i="4"/>
  <c r="M27" i="4"/>
  <c r="M21" i="4"/>
  <c r="M49" i="4" s="1"/>
  <c r="O28" i="4"/>
  <c r="P28" i="4"/>
  <c r="P32" i="4" s="1"/>
  <c r="Q28" i="4"/>
  <c r="R28" i="4" s="1"/>
  <c r="R32" i="4" s="1"/>
  <c r="S28" i="4"/>
  <c r="T28" i="4"/>
  <c r="T32" i="4" s="1"/>
  <c r="U28" i="4"/>
  <c r="V28" i="4"/>
  <c r="V32" i="4" s="1"/>
  <c r="X28" i="4"/>
  <c r="Y28" i="4"/>
  <c r="Z28" i="4"/>
  <c r="AA28" i="4"/>
  <c r="AB28" i="4" s="1"/>
  <c r="AC28" i="4"/>
  <c r="AC32" i="4" s="1"/>
  <c r="I28" i="4"/>
  <c r="J28" i="4"/>
  <c r="K28" i="4"/>
  <c r="K32" i="4" s="1"/>
  <c r="K42" i="4" s="1"/>
  <c r="L28" i="4"/>
  <c r="M28" i="4" s="1"/>
  <c r="L16" i="4"/>
  <c r="K16" i="4"/>
  <c r="J16" i="4"/>
  <c r="I16" i="4"/>
  <c r="M16" i="4"/>
  <c r="M15" i="4"/>
  <c r="M14" i="4"/>
  <c r="M12" i="4"/>
  <c r="M11" i="4"/>
  <c r="M10" i="4"/>
  <c r="M9" i="4"/>
  <c r="M8" i="4"/>
  <c r="E40" i="4"/>
  <c r="H37" i="4"/>
  <c r="H36" i="4"/>
  <c r="H35" i="4"/>
  <c r="H31" i="4"/>
  <c r="H29" i="4"/>
  <c r="G30" i="4"/>
  <c r="H30" i="4" s="1"/>
  <c r="F30" i="4"/>
  <c r="E30" i="4"/>
  <c r="D30" i="4"/>
  <c r="H22" i="4"/>
  <c r="H23" i="4"/>
  <c r="H24" i="4"/>
  <c r="H25" i="4"/>
  <c r="H26" i="4"/>
  <c r="H27" i="4"/>
  <c r="H21" i="4"/>
  <c r="H49" i="4" s="1"/>
  <c r="G28" i="4"/>
  <c r="H28" i="4" s="1"/>
  <c r="F28" i="4"/>
  <c r="E28" i="4"/>
  <c r="E32" i="4" s="1"/>
  <c r="D28" i="4"/>
  <c r="D32" i="4" s="1"/>
  <c r="H15" i="4"/>
  <c r="H14" i="4"/>
  <c r="G16" i="4"/>
  <c r="F16" i="4"/>
  <c r="E16" i="4"/>
  <c r="D16" i="4"/>
  <c r="H8" i="4"/>
  <c r="H9" i="4"/>
  <c r="H10" i="4"/>
  <c r="H11" i="4"/>
  <c r="H12" i="4"/>
  <c r="H7" i="4"/>
  <c r="F13" i="4"/>
  <c r="E13" i="4"/>
  <c r="D13" i="4"/>
  <c r="E44" i="6"/>
  <c r="F44" i="6" s="1"/>
  <c r="J54" i="6"/>
  <c r="O54" i="6" s="1"/>
  <c r="I54" i="6"/>
  <c r="N54" i="6" s="1"/>
  <c r="I51" i="6"/>
  <c r="N51" i="6" s="1"/>
  <c r="S51" i="6" s="1"/>
  <c r="X51" i="6" s="1"/>
  <c r="AC51" i="6" s="1"/>
  <c r="AH51" i="6" s="1"/>
  <c r="J47" i="6"/>
  <c r="O47" i="6" s="1"/>
  <c r="T47" i="6" s="1"/>
  <c r="Y47" i="6" s="1"/>
  <c r="AD47" i="6" s="1"/>
  <c r="AI47" i="6" s="1"/>
  <c r="I47" i="6"/>
  <c r="N47" i="6" s="1"/>
  <c r="S47" i="6" s="1"/>
  <c r="X47" i="6" s="1"/>
  <c r="AC47" i="6" s="1"/>
  <c r="AH47" i="6" s="1"/>
  <c r="I44" i="6"/>
  <c r="D45" i="6"/>
  <c r="E48" i="6"/>
  <c r="D48" i="6"/>
  <c r="D55" i="6"/>
  <c r="E55" i="6"/>
  <c r="I46" i="6" l="1"/>
  <c r="F45" i="6"/>
  <c r="K44" i="6"/>
  <c r="P44" i="6" s="1"/>
  <c r="U44" i="6" s="1"/>
  <c r="N44" i="6"/>
  <c r="N46" i="6" s="1"/>
  <c r="AG24" i="4"/>
  <c r="AH24" i="4"/>
  <c r="W28" i="4"/>
  <c r="AG25" i="4"/>
  <c r="AH25" i="4"/>
  <c r="AG27" i="4"/>
  <c r="AH27" i="4"/>
  <c r="S32" i="4"/>
  <c r="S42" i="4" s="1"/>
  <c r="AG30" i="4"/>
  <c r="AH30" i="4"/>
  <c r="AI30" i="4" s="1"/>
  <c r="AJ30" i="4" s="1"/>
  <c r="AK30" i="4" s="1"/>
  <c r="AL30" i="4" s="1"/>
  <c r="AE26" i="4"/>
  <c r="AD28" i="2"/>
  <c r="AG29" i="4"/>
  <c r="AH29" i="4"/>
  <c r="AI29" i="4" s="1"/>
  <c r="AJ29" i="4" s="1"/>
  <c r="AK29" i="4" s="1"/>
  <c r="AL29" i="4" s="1"/>
  <c r="W40" i="4"/>
  <c r="E42" i="4"/>
  <c r="R40" i="4"/>
  <c r="R42" i="4" s="1"/>
  <c r="U32" i="4"/>
  <c r="U42" i="4" s="1"/>
  <c r="L32" i="4"/>
  <c r="L42" i="4" s="1"/>
  <c r="O32" i="4"/>
  <c r="M40" i="4"/>
  <c r="AG22" i="4"/>
  <c r="AH22" i="4"/>
  <c r="AE9" i="4"/>
  <c r="AD40" i="2"/>
  <c r="AE40" i="2"/>
  <c r="L40" i="2"/>
  <c r="N40" i="2"/>
  <c r="AC42" i="4"/>
  <c r="AH14" i="4"/>
  <c r="AI14" i="4" s="1"/>
  <c r="AJ14" i="4" s="1"/>
  <c r="AK14" i="4" s="1"/>
  <c r="AL14" i="4" s="1"/>
  <c r="AG14" i="4"/>
  <c r="W40" i="2"/>
  <c r="W42" i="2" s="1"/>
  <c r="S42" i="2"/>
  <c r="I32" i="4"/>
  <c r="I42" i="4" s="1"/>
  <c r="AB32" i="4"/>
  <c r="AB42" i="4" s="1"/>
  <c r="AC42" i="2"/>
  <c r="Y32" i="4"/>
  <c r="Z32" i="4"/>
  <c r="X42" i="2"/>
  <c r="AB40" i="2"/>
  <c r="AB42" i="2" s="1"/>
  <c r="AF36" i="4"/>
  <c r="AH35" i="4"/>
  <c r="AI35" i="4" s="1"/>
  <c r="AJ35" i="4" s="1"/>
  <c r="AK35" i="4" s="1"/>
  <c r="AL35" i="4" s="1"/>
  <c r="AG35" i="4"/>
  <c r="AK31" i="4"/>
  <c r="W32" i="4"/>
  <c r="W42" i="4" s="1"/>
  <c r="M32" i="4"/>
  <c r="M42" i="4" s="1"/>
  <c r="O42" i="4"/>
  <c r="X32" i="4"/>
  <c r="X42" i="4" s="1"/>
  <c r="N42" i="4"/>
  <c r="Z42" i="4"/>
  <c r="F32" i="4"/>
  <c r="Q32" i="4"/>
  <c r="AB40" i="4"/>
  <c r="D17" i="4"/>
  <c r="Y42" i="4"/>
  <c r="F17" i="4"/>
  <c r="F44" i="4" s="1"/>
  <c r="AE23" i="4"/>
  <c r="AF23" i="4" s="1"/>
  <c r="E17" i="4"/>
  <c r="E44" i="4" s="1"/>
  <c r="AA32" i="4"/>
  <c r="AA42" i="4" s="1"/>
  <c r="P42" i="4"/>
  <c r="AK38" i="4"/>
  <c r="Q42" i="4"/>
  <c r="AE8" i="4"/>
  <c r="AE19" i="2" s="1"/>
  <c r="T42" i="4"/>
  <c r="V42" i="4"/>
  <c r="D42" i="4"/>
  <c r="F42" i="4"/>
  <c r="H32" i="4"/>
  <c r="H42" i="4" s="1"/>
  <c r="H39" i="4"/>
  <c r="G32" i="4"/>
  <c r="G42" i="4" s="1"/>
  <c r="G13" i="4"/>
  <c r="G17" i="4" s="1"/>
  <c r="H17" i="4" s="1"/>
  <c r="S44" i="6"/>
  <c r="X44" i="6" s="1"/>
  <c r="AC44" i="6" s="1"/>
  <c r="AH44" i="6" s="1"/>
  <c r="AH46" i="6" s="1"/>
  <c r="T54" i="6"/>
  <c r="N53" i="6"/>
  <c r="S54" i="6"/>
  <c r="I53" i="6"/>
  <c r="X46" i="6" l="1"/>
  <c r="AG23" i="4"/>
  <c r="AH23" i="4"/>
  <c r="AF26" i="4"/>
  <c r="AE28" i="2"/>
  <c r="AE36" i="2" s="1"/>
  <c r="M40" i="2"/>
  <c r="M42" i="2" s="1"/>
  <c r="L42" i="2"/>
  <c r="AI25" i="4"/>
  <c r="AJ25" i="4" s="1"/>
  <c r="AK25" i="4" s="1"/>
  <c r="AI27" i="4"/>
  <c r="AJ27" i="4" s="1"/>
  <c r="AK27" i="4" s="1"/>
  <c r="AI22" i="4"/>
  <c r="AD36" i="2"/>
  <c r="AI24" i="4"/>
  <c r="AJ24" i="4" s="1"/>
  <c r="AK24" i="4" s="1"/>
  <c r="R40" i="2"/>
  <c r="R42" i="2" s="1"/>
  <c r="N42" i="2"/>
  <c r="AF9" i="4"/>
  <c r="AF40" i="2"/>
  <c r="AG40" i="2" s="1"/>
  <c r="H13" i="4"/>
  <c r="AL31" i="4"/>
  <c r="AF40" i="4"/>
  <c r="AG36" i="4"/>
  <c r="D44" i="4"/>
  <c r="AL38" i="4"/>
  <c r="AF8" i="4"/>
  <c r="S46" i="6"/>
  <c r="AC46" i="6"/>
  <c r="H44" i="4"/>
  <c r="G44" i="4"/>
  <c r="Z44" i="6"/>
  <c r="S53" i="6"/>
  <c r="X54" i="6"/>
  <c r="Y54" i="6"/>
  <c r="AE44" i="6" l="1"/>
  <c r="AG8" i="4"/>
  <c r="AH19" i="2" s="1"/>
  <c r="AF19" i="2"/>
  <c r="AH9" i="4"/>
  <c r="AG9" i="4"/>
  <c r="AH40" i="2" s="1"/>
  <c r="AI23" i="4"/>
  <c r="AJ23" i="4" s="1"/>
  <c r="AK23" i="4" s="1"/>
  <c r="AL23" i="4"/>
  <c r="AJ22" i="4"/>
  <c r="AL24" i="4"/>
  <c r="AH26" i="4"/>
  <c r="AF28" i="2"/>
  <c r="AF36" i="2" s="1"/>
  <c r="AG26" i="4"/>
  <c r="AL25" i="4"/>
  <c r="AL27" i="4"/>
  <c r="AG40" i="4"/>
  <c r="AH36" i="4"/>
  <c r="AD54" i="6"/>
  <c r="AC54" i="6"/>
  <c r="X53" i="6"/>
  <c r="AJ44" i="6" l="1"/>
  <c r="AG28" i="2"/>
  <c r="AG36" i="2" s="1"/>
  <c r="AH28" i="2"/>
  <c r="AI26" i="4"/>
  <c r="AK22" i="4"/>
  <c r="AI9" i="4"/>
  <c r="AI40" i="2" s="1"/>
  <c r="AG19" i="2"/>
  <c r="AL19" i="2"/>
  <c r="AI36" i="4"/>
  <c r="AH40" i="4"/>
  <c r="AH54" i="6"/>
  <c r="AH53" i="6" s="1"/>
  <c r="AC53" i="6"/>
  <c r="AI54" i="6"/>
  <c r="AI28" i="2" l="1"/>
  <c r="AI36" i="2" s="1"/>
  <c r="AJ26" i="4"/>
  <c r="AH36" i="2"/>
  <c r="AJ9" i="4"/>
  <c r="AJ40" i="2" s="1"/>
  <c r="AL22" i="4"/>
  <c r="AJ36" i="4"/>
  <c r="AI40" i="4"/>
  <c r="AK26" i="4" l="1"/>
  <c r="AJ28" i="2"/>
  <c r="AK9" i="4"/>
  <c r="AL9" i="4" s="1"/>
  <c r="AK36" i="4"/>
  <c r="AJ36" i="2" l="1"/>
  <c r="AK40" i="2"/>
  <c r="AL40" i="2" s="1"/>
  <c r="AL26" i="4"/>
  <c r="E23" i="5" s="1"/>
  <c r="AK28" i="2"/>
  <c r="AK36" i="2" s="1"/>
  <c r="AL36" i="4"/>
  <c r="AL28" i="2" l="1"/>
  <c r="AL36" i="2" s="1"/>
  <c r="F54" i="6" l="1"/>
  <c r="K54" i="6" s="1"/>
  <c r="F47" i="6"/>
  <c r="E51" i="6"/>
  <c r="E53" i="6" s="1"/>
  <c r="AL14" i="6"/>
  <c r="E46" i="6"/>
  <c r="D46" i="6"/>
  <c r="D53" i="6"/>
  <c r="J51" i="6" l="1"/>
  <c r="F51" i="6"/>
  <c r="K51" i="6" s="1"/>
  <c r="P51" i="6" s="1"/>
  <c r="U51" i="6" s="1"/>
  <c r="Z51" i="6" s="1"/>
  <c r="AE51" i="6" s="1"/>
  <c r="AJ51" i="6" s="1"/>
  <c r="P54" i="6"/>
  <c r="J44" i="6"/>
  <c r="E45" i="6"/>
  <c r="F46" i="6"/>
  <c r="K47" i="6"/>
  <c r="G47" i="6"/>
  <c r="H47" i="6" s="1"/>
  <c r="F48" i="6"/>
  <c r="G54" i="6"/>
  <c r="F55" i="6"/>
  <c r="G44" i="6"/>
  <c r="F53" i="6"/>
  <c r="K53" i="6" l="1"/>
  <c r="G51" i="6"/>
  <c r="G55" i="6"/>
  <c r="L54" i="6"/>
  <c r="K46" i="6"/>
  <c r="P47" i="6"/>
  <c r="P53" i="6"/>
  <c r="U54" i="6"/>
  <c r="O51" i="6"/>
  <c r="J53" i="6"/>
  <c r="J46" i="6"/>
  <c r="O44" i="6"/>
  <c r="H48" i="6"/>
  <c r="M47" i="6"/>
  <c r="R47" i="6" s="1"/>
  <c r="W47" i="6" s="1"/>
  <c r="AB47" i="6" s="1"/>
  <c r="AG47" i="6" s="1"/>
  <c r="AL47" i="6" s="1"/>
  <c r="G53" i="6"/>
  <c r="H44" i="6"/>
  <c r="H46" i="6" s="1"/>
  <c r="G45" i="6"/>
  <c r="L44" i="6"/>
  <c r="Q44" i="6" s="1"/>
  <c r="H54" i="6"/>
  <c r="G46" i="6"/>
  <c r="L47" i="6"/>
  <c r="G48" i="6"/>
  <c r="L51" i="6" l="1"/>
  <c r="Q51" i="6" s="1"/>
  <c r="V51" i="6" s="1"/>
  <c r="H51" i="6"/>
  <c r="H53" i="6" s="1"/>
  <c r="G52" i="6"/>
  <c r="T51" i="6"/>
  <c r="O53" i="6"/>
  <c r="U53" i="6"/>
  <c r="Z54" i="6"/>
  <c r="U47" i="6"/>
  <c r="P46" i="6"/>
  <c r="L46" i="6"/>
  <c r="Q47" i="6"/>
  <c r="V47" i="6" s="1"/>
  <c r="AA47" i="6" s="1"/>
  <c r="AF47" i="6" s="1"/>
  <c r="AK47" i="6" s="1"/>
  <c r="Q54" i="6"/>
  <c r="L53" i="6"/>
  <c r="AA51" i="6"/>
  <c r="V44" i="6"/>
  <c r="T44" i="6"/>
  <c r="O46" i="6"/>
  <c r="M54" i="6"/>
  <c r="H55" i="6"/>
  <c r="M44" i="6"/>
  <c r="H45" i="6"/>
  <c r="AI39" i="6"/>
  <c r="AJ39" i="6" s="1"/>
  <c r="AK39" i="6" s="1"/>
  <c r="AH38" i="6"/>
  <c r="AI36" i="6"/>
  <c r="K39" i="6"/>
  <c r="J39" i="6"/>
  <c r="I39" i="6"/>
  <c r="X39" i="6"/>
  <c r="Y39" i="6"/>
  <c r="Z39" i="6"/>
  <c r="AC39" i="6"/>
  <c r="AD39" i="6" s="1"/>
  <c r="P39" i="6"/>
  <c r="O39" i="6"/>
  <c r="N39" i="6"/>
  <c r="U39" i="6"/>
  <c r="T39" i="6"/>
  <c r="S39" i="6"/>
  <c r="AA38" i="6"/>
  <c r="V38" i="6"/>
  <c r="W38" i="6" s="1"/>
  <c r="Q38" i="6"/>
  <c r="R38" i="6" s="1"/>
  <c r="L38" i="6"/>
  <c r="M38" i="6" s="1"/>
  <c r="G38" i="6"/>
  <c r="H38" i="6" s="1"/>
  <c r="M51" i="6" l="1"/>
  <c r="R51" i="6" s="1"/>
  <c r="W51" i="6" s="1"/>
  <c r="AB51" i="6" s="1"/>
  <c r="AG51" i="6" s="1"/>
  <c r="AL51" i="6" s="1"/>
  <c r="H52" i="6"/>
  <c r="Q46" i="6"/>
  <c r="Z47" i="6"/>
  <c r="U46" i="6"/>
  <c r="AE54" i="6"/>
  <c r="Z53" i="6"/>
  <c r="V54" i="6"/>
  <c r="Q53" i="6"/>
  <c r="Y51" i="6"/>
  <c r="T53" i="6"/>
  <c r="AF51" i="6"/>
  <c r="Y44" i="6"/>
  <c r="T46" i="6"/>
  <c r="M46" i="6"/>
  <c r="R44" i="6"/>
  <c r="AA44" i="6"/>
  <c r="V46" i="6"/>
  <c r="M53" i="6"/>
  <c r="R54" i="6"/>
  <c r="V39" i="6"/>
  <c r="AA39" i="6"/>
  <c r="Q39" i="6"/>
  <c r="L39" i="6"/>
  <c r="AD38" i="6"/>
  <c r="AE39" i="6"/>
  <c r="R39" i="6"/>
  <c r="M39" i="6"/>
  <c r="W39" i="6"/>
  <c r="AB38" i="6"/>
  <c r="AB39" i="6" s="1"/>
  <c r="AJ36" i="6"/>
  <c r="AQ27" i="6"/>
  <c r="AP27" i="6"/>
  <c r="AO27" i="6"/>
  <c r="AN27" i="6"/>
  <c r="AQ7" i="6"/>
  <c r="AP7" i="6"/>
  <c r="AO7" i="6"/>
  <c r="AN7" i="6"/>
  <c r="AK27" i="6"/>
  <c r="AJ27" i="6"/>
  <c r="AI27" i="6"/>
  <c r="AH27" i="6"/>
  <c r="AH19" i="6"/>
  <c r="H8" i="3"/>
  <c r="H6" i="3"/>
  <c r="M8" i="3"/>
  <c r="M10" i="3"/>
  <c r="M48" i="4" s="1"/>
  <c r="AE19" i="6"/>
  <c r="AJ19" i="6" s="1"/>
  <c r="AI19" i="6"/>
  <c r="AF27" i="6"/>
  <c r="AE27" i="6"/>
  <c r="AD27" i="6"/>
  <c r="AA7" i="3"/>
  <c r="AB7" i="3" s="1"/>
  <c r="AA5" i="3"/>
  <c r="AB5" i="3" s="1"/>
  <c r="Q25" i="6"/>
  <c r="R25" i="6" s="1"/>
  <c r="G25" i="6"/>
  <c r="H25" i="6" s="1"/>
  <c r="AC26" i="6"/>
  <c r="AC29" i="6" s="1"/>
  <c r="AA25" i="6"/>
  <c r="AB25" i="6" s="1"/>
  <c r="V25" i="6"/>
  <c r="W25" i="6" s="1"/>
  <c r="L25" i="6"/>
  <c r="M25" i="6" s="1"/>
  <c r="AC20" i="6"/>
  <c r="AA54" i="6" l="1"/>
  <c r="V53" i="6"/>
  <c r="AE53" i="6"/>
  <c r="AJ54" i="6"/>
  <c r="AJ53" i="6" s="1"/>
  <c r="AD51" i="6"/>
  <c r="Y53" i="6"/>
  <c r="Y46" i="6"/>
  <c r="AD44" i="6"/>
  <c r="AE47" i="6"/>
  <c r="Z46" i="6"/>
  <c r="AA46" i="6"/>
  <c r="AF44" i="6"/>
  <c r="AK51" i="6"/>
  <c r="W44" i="6"/>
  <c r="R46" i="6"/>
  <c r="R53" i="6"/>
  <c r="W54" i="6"/>
  <c r="AR7" i="6"/>
  <c r="AK36" i="6"/>
  <c r="AE38" i="6"/>
  <c r="AJ38" i="6" s="1"/>
  <c r="AF39" i="6"/>
  <c r="AF38" i="6" s="1"/>
  <c r="AK38" i="6" s="1"/>
  <c r="AI38" i="6"/>
  <c r="AP19" i="6"/>
  <c r="AO19" i="6"/>
  <c r="AH29" i="6"/>
  <c r="AH26" i="6"/>
  <c r="AN19" i="6"/>
  <c r="AI51" i="6" l="1"/>
  <c r="AI53" i="6" s="1"/>
  <c r="AD53" i="6"/>
  <c r="AI44" i="6"/>
  <c r="AI46" i="6" s="1"/>
  <c r="AD46" i="6"/>
  <c r="AJ47" i="6"/>
  <c r="AJ46" i="6" s="1"/>
  <c r="AE46" i="6"/>
  <c r="AF54" i="6"/>
  <c r="AA53" i="6"/>
  <c r="AF46" i="6"/>
  <c r="AK44" i="6"/>
  <c r="AK46" i="6" s="1"/>
  <c r="AB44" i="6"/>
  <c r="W46" i="6"/>
  <c r="W53" i="6"/>
  <c r="AB54" i="6"/>
  <c r="AL38" i="6"/>
  <c r="AG38" i="6"/>
  <c r="AG39" i="6" s="1"/>
  <c r="AN26" i="6"/>
  <c r="AN29" i="6"/>
  <c r="AH25" i="6"/>
  <c r="AH10" i="3" s="1"/>
  <c r="AH11" i="4" l="1"/>
  <c r="AH21" i="4"/>
  <c r="AH28" i="4" s="1"/>
  <c r="AH32" i="4" s="1"/>
  <c r="AH42" i="4" s="1"/>
  <c r="AK54" i="6"/>
  <c r="AK53" i="6" s="1"/>
  <c r="AF53" i="6"/>
  <c r="AB46" i="6"/>
  <c r="AG44" i="6"/>
  <c r="AB53" i="6"/>
  <c r="AG54" i="6"/>
  <c r="AL54" i="6" s="1"/>
  <c r="AL39" i="6"/>
  <c r="AN25" i="6"/>
  <c r="AG46" i="6" l="1"/>
  <c r="AL44" i="6"/>
  <c r="AL46" i="6" s="1"/>
  <c r="AL53" i="6"/>
  <c r="AG53" i="6"/>
  <c r="I26" i="6" l="1"/>
  <c r="I29" i="6" s="1"/>
  <c r="J26" i="6"/>
  <c r="J29" i="6" s="1"/>
  <c r="K26" i="6"/>
  <c r="K29" i="6" s="1"/>
  <c r="N26" i="6"/>
  <c r="O26" i="6"/>
  <c r="P26" i="6"/>
  <c r="S26" i="6"/>
  <c r="T26" i="6"/>
  <c r="T29" i="6" s="1"/>
  <c r="U26" i="6"/>
  <c r="X26" i="6"/>
  <c r="X29" i="6" s="1"/>
  <c r="Y26" i="6"/>
  <c r="Z26" i="6"/>
  <c r="F26" i="6"/>
  <c r="F29" i="6" s="1"/>
  <c r="E26" i="6"/>
  <c r="E29" i="6" s="1"/>
  <c r="D26" i="6"/>
  <c r="D29" i="6" s="1"/>
  <c r="S27" i="6" l="1"/>
  <c r="S29" i="6"/>
  <c r="AD26" i="6"/>
  <c r="Y29" i="6"/>
  <c r="P27" i="6"/>
  <c r="P29" i="6"/>
  <c r="P30" i="6" s="1"/>
  <c r="Z29" i="6"/>
  <c r="AE26" i="6"/>
  <c r="AJ26" i="6" s="1"/>
  <c r="AP26" i="6" s="1"/>
  <c r="U27" i="6"/>
  <c r="U29" i="6"/>
  <c r="O27" i="6"/>
  <c r="O29" i="6"/>
  <c r="O30" i="6" s="1"/>
  <c r="X30" i="6"/>
  <c r="AC30" i="6"/>
  <c r="N27" i="6"/>
  <c r="N29" i="6"/>
  <c r="N30" i="6" s="1"/>
  <c r="K30" i="6"/>
  <c r="I30" i="6"/>
  <c r="J30" i="6"/>
  <c r="T27" i="6"/>
  <c r="Y27" i="6"/>
  <c r="X27" i="6"/>
  <c r="AC27" i="6"/>
  <c r="J27" i="6"/>
  <c r="I27" i="6"/>
  <c r="Z27" i="6"/>
  <c r="K27" i="6"/>
  <c r="X20" i="6"/>
  <c r="Y20" i="6"/>
  <c r="Z20" i="6"/>
  <c r="V26" i="6"/>
  <c r="V29" i="6" s="1"/>
  <c r="S20" i="6"/>
  <c r="T20" i="6"/>
  <c r="U20" i="6"/>
  <c r="N20" i="6"/>
  <c r="O20" i="6"/>
  <c r="P20" i="6"/>
  <c r="J20" i="6"/>
  <c r="K20" i="6"/>
  <c r="I20" i="6"/>
  <c r="L26" i="6"/>
  <c r="G26" i="6" l="1"/>
  <c r="G29" i="6" s="1"/>
  <c r="U30" i="6"/>
  <c r="AA26" i="6"/>
  <c r="AF19" i="6"/>
  <c r="Y30" i="6"/>
  <c r="AD29" i="6"/>
  <c r="AI29" i="6" s="1"/>
  <c r="Z30" i="6"/>
  <c r="AE29" i="6"/>
  <c r="AI26" i="6"/>
  <c r="L27" i="6"/>
  <c r="L29" i="6"/>
  <c r="L30" i="6" s="1"/>
  <c r="S30" i="6"/>
  <c r="T30" i="6"/>
  <c r="AA20" i="6"/>
  <c r="Q20" i="6"/>
  <c r="V20" i="6"/>
  <c r="R19" i="6"/>
  <c r="R26" i="6" s="1"/>
  <c r="R29" i="6" s="1"/>
  <c r="W19" i="6"/>
  <c r="W26" i="6" s="1"/>
  <c r="L20" i="6"/>
  <c r="M19" i="6"/>
  <c r="AB19" i="6"/>
  <c r="Q26" i="6"/>
  <c r="AD25" i="6" l="1"/>
  <c r="AD10" i="3" s="1"/>
  <c r="W27" i="6"/>
  <c r="W29" i="6"/>
  <c r="W30" i="6" s="1"/>
  <c r="Q27" i="6"/>
  <c r="Q29" i="6"/>
  <c r="AO26" i="6"/>
  <c r="W20" i="6"/>
  <c r="AK19" i="6"/>
  <c r="AG19" i="6"/>
  <c r="AG20" i="6" s="1"/>
  <c r="AE25" i="6"/>
  <c r="AE10" i="3" s="1"/>
  <c r="AJ29" i="6"/>
  <c r="AI25" i="6"/>
  <c r="AI10" i="3" s="1"/>
  <c r="AO29" i="6"/>
  <c r="AA27" i="6"/>
  <c r="AF26" i="6"/>
  <c r="AA29" i="6"/>
  <c r="V27" i="6"/>
  <c r="AB26" i="6"/>
  <c r="AB20" i="6"/>
  <c r="M26" i="6"/>
  <c r="M29" i="6" s="1"/>
  <c r="R30" i="6" s="1"/>
  <c r="R20" i="6"/>
  <c r="AI11" i="4" l="1"/>
  <c r="AI21" i="4"/>
  <c r="AE21" i="4"/>
  <c r="AE28" i="4" s="1"/>
  <c r="AE32" i="4" s="1"/>
  <c r="AE42" i="4" s="1"/>
  <c r="AE11" i="4"/>
  <c r="AD21" i="4"/>
  <c r="AD11" i="4"/>
  <c r="AF29" i="6"/>
  <c r="AK29" i="6" s="1"/>
  <c r="AA30" i="6"/>
  <c r="AK26" i="6"/>
  <c r="AG26" i="6"/>
  <c r="AB27" i="6"/>
  <c r="AB29" i="6"/>
  <c r="AB30" i="6" s="1"/>
  <c r="AJ25" i="6"/>
  <c r="AJ10" i="3" s="1"/>
  <c r="AP29" i="6"/>
  <c r="AP25" i="6" s="1"/>
  <c r="AQ19" i="6"/>
  <c r="AL19" i="6"/>
  <c r="AL20" i="6" s="1"/>
  <c r="Q30" i="6"/>
  <c r="V30" i="6"/>
  <c r="AO25" i="6"/>
  <c r="R27" i="6"/>
  <c r="AD13" i="2" l="1"/>
  <c r="AE13" i="2"/>
  <c r="AD28" i="4"/>
  <c r="AD32" i="4" s="1"/>
  <c r="AD42" i="4" s="1"/>
  <c r="AD12" i="2"/>
  <c r="AI13" i="2"/>
  <c r="AI28" i="4"/>
  <c r="AI32" i="4" s="1"/>
  <c r="AI42" i="4" s="1"/>
  <c r="AJ11" i="4"/>
  <c r="AJ12" i="2" s="1"/>
  <c r="AJ21" i="4"/>
  <c r="AJ13" i="2" s="1"/>
  <c r="AI12" i="2"/>
  <c r="AF25" i="6"/>
  <c r="AR19" i="6"/>
  <c r="AR20" i="6" s="1"/>
  <c r="AQ26" i="6"/>
  <c r="AL26" i="6"/>
  <c r="AL27" i="6" s="1"/>
  <c r="AK25" i="6"/>
  <c r="AQ29" i="6"/>
  <c r="H26" i="6"/>
  <c r="M20" i="6"/>
  <c r="I7" i="6"/>
  <c r="J7" i="6"/>
  <c r="K7" i="6"/>
  <c r="N7" i="6"/>
  <c r="O7" i="6"/>
  <c r="P7" i="6"/>
  <c r="S7" i="6"/>
  <c r="T7" i="6"/>
  <c r="U7" i="6"/>
  <c r="X7" i="6"/>
  <c r="Y7" i="6"/>
  <c r="Z7" i="6"/>
  <c r="AA7" i="6"/>
  <c r="AC7" i="6"/>
  <c r="AC5" i="6"/>
  <c r="X5" i="6"/>
  <c r="Y5" i="6"/>
  <c r="Z5" i="6"/>
  <c r="AA5" i="6"/>
  <c r="S5" i="6"/>
  <c r="T5" i="6"/>
  <c r="U5" i="6"/>
  <c r="N5" i="6"/>
  <c r="N66" i="6" s="1"/>
  <c r="O5" i="6"/>
  <c r="O66" i="6" s="1"/>
  <c r="P5" i="6"/>
  <c r="P66" i="6" s="1"/>
  <c r="I5" i="6"/>
  <c r="I66" i="6" s="1"/>
  <c r="J5" i="6"/>
  <c r="J66" i="6" s="1"/>
  <c r="K5" i="6"/>
  <c r="K66" i="6" s="1"/>
  <c r="E5" i="6"/>
  <c r="E66" i="6" s="1"/>
  <c r="F5" i="6"/>
  <c r="F66" i="6" s="1"/>
  <c r="X8" i="6" l="1"/>
  <c r="AL25" i="6"/>
  <c r="AK10" i="3"/>
  <c r="AG25" i="6"/>
  <c r="AG29" i="6" s="1"/>
  <c r="AG30" i="6" s="1"/>
  <c r="AF10" i="3"/>
  <c r="N8" i="6"/>
  <c r="AJ28" i="4"/>
  <c r="AJ32" i="4" s="1"/>
  <c r="S8" i="6"/>
  <c r="Z35" i="6"/>
  <c r="Z8" i="6"/>
  <c r="T35" i="6"/>
  <c r="T8" i="6"/>
  <c r="O35" i="6"/>
  <c r="O8" i="6"/>
  <c r="J35" i="6"/>
  <c r="K35" i="6"/>
  <c r="Y35" i="6"/>
  <c r="Y36" i="6" s="1"/>
  <c r="Y8" i="6"/>
  <c r="U35" i="6"/>
  <c r="U8" i="6"/>
  <c r="P35" i="6"/>
  <c r="P8" i="6"/>
  <c r="AC8" i="6"/>
  <c r="AA35" i="6"/>
  <c r="N6" i="6"/>
  <c r="X6" i="6"/>
  <c r="J6" i="6"/>
  <c r="K6" i="6"/>
  <c r="Z6" i="6"/>
  <c r="T6" i="6"/>
  <c r="O6" i="6"/>
  <c r="U6" i="6"/>
  <c r="AC6" i="6"/>
  <c r="P6" i="6"/>
  <c r="Y6" i="6"/>
  <c r="S6" i="6"/>
  <c r="AL29" i="6"/>
  <c r="AL30" i="6" s="1"/>
  <c r="M27" i="6"/>
  <c r="H29" i="6"/>
  <c r="M30" i="6" s="1"/>
  <c r="AQ25" i="6"/>
  <c r="AR25" i="6" s="1"/>
  <c r="AR26" i="6"/>
  <c r="AR27" i="6" s="1"/>
  <c r="AB5" i="6"/>
  <c r="AB66" i="6" s="1"/>
  <c r="AG66" i="6" s="1"/>
  <c r="X35" i="6"/>
  <c r="AB7" i="6"/>
  <c r="N35" i="6"/>
  <c r="I35" i="6"/>
  <c r="S35" i="6"/>
  <c r="AC35" i="6"/>
  <c r="AC9" i="6"/>
  <c r="AC18" i="6"/>
  <c r="S9" i="6"/>
  <c r="S66" i="6" s="1"/>
  <c r="S18" i="6"/>
  <c r="O18" i="6"/>
  <c r="O22" i="6" s="1"/>
  <c r="O32" i="6" s="1"/>
  <c r="O9" i="6"/>
  <c r="F18" i="6"/>
  <c r="F22" i="6" s="1"/>
  <c r="F32" i="6" s="1"/>
  <c r="Z9" i="6"/>
  <c r="Z66" i="6" s="1"/>
  <c r="Z18" i="6"/>
  <c r="Z22" i="6" s="1"/>
  <c r="E18" i="6"/>
  <c r="E22" i="6" s="1"/>
  <c r="E32" i="6" s="1"/>
  <c r="Y18" i="6"/>
  <c r="Y22" i="6" s="1"/>
  <c r="Y9" i="6"/>
  <c r="Y66" i="6" s="1"/>
  <c r="X9" i="6"/>
  <c r="X66" i="6" s="1"/>
  <c r="X18" i="6"/>
  <c r="P9" i="6"/>
  <c r="P18" i="6"/>
  <c r="P22" i="6" s="1"/>
  <c r="P32" i="6" s="1"/>
  <c r="T18" i="6"/>
  <c r="T22" i="6" s="1"/>
  <c r="T32" i="6" s="1"/>
  <c r="T9" i="6"/>
  <c r="T66" i="6" s="1"/>
  <c r="N18" i="6"/>
  <c r="N9" i="6"/>
  <c r="K9" i="6"/>
  <c r="K18" i="6"/>
  <c r="K22" i="6" s="1"/>
  <c r="I18" i="6"/>
  <c r="I9" i="6"/>
  <c r="U18" i="6"/>
  <c r="U22" i="6" s="1"/>
  <c r="U32" i="6" s="1"/>
  <c r="U9" i="6"/>
  <c r="U66" i="6" s="1"/>
  <c r="AA9" i="6"/>
  <c r="AA66" i="6" s="1"/>
  <c r="AA18" i="6"/>
  <c r="AA22" i="6" s="1"/>
  <c r="AF22" i="6" s="1"/>
  <c r="AK22" i="6" s="1"/>
  <c r="J9" i="6"/>
  <c r="J18" i="6"/>
  <c r="J22" i="6" s="1"/>
  <c r="J32" i="6" s="1"/>
  <c r="AG69" i="6" l="1"/>
  <c r="AB69" i="6"/>
  <c r="AL66" i="6"/>
  <c r="AL69" i="6" s="1"/>
  <c r="Z36" i="6"/>
  <c r="T36" i="6"/>
  <c r="O36" i="6"/>
  <c r="AF21" i="4"/>
  <c r="AF11" i="4"/>
  <c r="P36" i="6"/>
  <c r="AK11" i="4"/>
  <c r="AK21" i="4"/>
  <c r="AL10" i="3"/>
  <c r="AG27" i="6"/>
  <c r="U36" i="6"/>
  <c r="AB35" i="6"/>
  <c r="N36" i="6"/>
  <c r="AB9" i="6"/>
  <c r="AG14" i="6" s="1"/>
  <c r="AH35" i="6"/>
  <c r="AC36" i="6"/>
  <c r="AD36" i="6" s="1"/>
  <c r="S36" i="6"/>
  <c r="X36" i="6"/>
  <c r="AR29" i="6"/>
  <c r="AR30" i="6" s="1"/>
  <c r="AK32" i="6"/>
  <c r="AQ22" i="6"/>
  <c r="AK18" i="6"/>
  <c r="AK5" i="6" s="1"/>
  <c r="AF18" i="6"/>
  <c r="AF5" i="6" s="1"/>
  <c r="AF32" i="6"/>
  <c r="U33" i="6"/>
  <c r="O33" i="6"/>
  <c r="K23" i="6"/>
  <c r="K32" i="6"/>
  <c r="K33" i="6" s="1"/>
  <c r="AE22" i="6"/>
  <c r="AJ22" i="6" s="1"/>
  <c r="Z32" i="6"/>
  <c r="Z33" i="6" s="1"/>
  <c r="T33" i="6"/>
  <c r="AC22" i="6"/>
  <c r="AH22" i="6" s="1"/>
  <c r="J33" i="6"/>
  <c r="Y23" i="6"/>
  <c r="Y32" i="6"/>
  <c r="Y33" i="6" s="1"/>
  <c r="AD22" i="6"/>
  <c r="AA32" i="6"/>
  <c r="O23" i="6"/>
  <c r="U23" i="6"/>
  <c r="X22" i="6"/>
  <c r="X32" i="6" s="1"/>
  <c r="AB18" i="6"/>
  <c r="I22" i="6"/>
  <c r="I32" i="6" s="1"/>
  <c r="N22" i="6"/>
  <c r="T23" i="6"/>
  <c r="Z23" i="6"/>
  <c r="P23" i="6"/>
  <c r="S22" i="6"/>
  <c r="J23" i="6"/>
  <c r="AI22" i="6" l="1"/>
  <c r="AD18" i="6"/>
  <c r="AB70" i="6"/>
  <c r="AL21" i="4"/>
  <c r="AL49" i="4" s="1"/>
  <c r="AK28" i="4"/>
  <c r="AK13" i="2"/>
  <c r="AG11" i="4"/>
  <c r="AH12" i="2" s="1"/>
  <c r="AE12" i="2"/>
  <c r="AF13" i="2"/>
  <c r="AG13" i="2" s="1"/>
  <c r="AG21" i="4"/>
  <c r="AH13" i="2" s="1"/>
  <c r="AF28" i="4"/>
  <c r="AL11" i="4"/>
  <c r="AL48" i="4" s="1"/>
  <c r="AK12" i="2"/>
  <c r="AK6" i="6"/>
  <c r="AF5" i="3"/>
  <c r="AF6" i="6"/>
  <c r="P33" i="6"/>
  <c r="AE36" i="6"/>
  <c r="AD35" i="6"/>
  <c r="AH7" i="6"/>
  <c r="AH8" i="6" s="1"/>
  <c r="AH7" i="3"/>
  <c r="AJ32" i="6"/>
  <c r="AP22" i="6"/>
  <c r="AJ18" i="6"/>
  <c r="AJ5" i="6" s="1"/>
  <c r="AN22" i="6"/>
  <c r="AH18" i="6"/>
  <c r="AH32" i="6"/>
  <c r="AK5" i="3"/>
  <c r="AQ32" i="6"/>
  <c r="AQ33" i="6" s="1"/>
  <c r="AQ18" i="6"/>
  <c r="AQ5" i="6" s="1"/>
  <c r="AQ9" i="6" s="1"/>
  <c r="AI32" i="6"/>
  <c r="AO22" i="6"/>
  <c r="AI18" i="6"/>
  <c r="AI5" i="6" s="1"/>
  <c r="AK33" i="6"/>
  <c r="AD5" i="6"/>
  <c r="AD32" i="6"/>
  <c r="AD33" i="6" s="1"/>
  <c r="AE18" i="6"/>
  <c r="AE5" i="6" s="1"/>
  <c r="AE6" i="6" s="1"/>
  <c r="AE32" i="6"/>
  <c r="AE33" i="6" s="1"/>
  <c r="AF33" i="6"/>
  <c r="S23" i="6"/>
  <c r="S32" i="6"/>
  <c r="X33" i="6" s="1"/>
  <c r="AC23" i="6"/>
  <c r="AC32" i="6"/>
  <c r="AC33" i="6" s="1"/>
  <c r="N23" i="6"/>
  <c r="N32" i="6"/>
  <c r="N33" i="6" s="1"/>
  <c r="AB22" i="6"/>
  <c r="AB32" i="6" s="1"/>
  <c r="X23" i="6"/>
  <c r="AF12" i="2" l="1"/>
  <c r="AG12" i="2" s="1"/>
  <c r="AL13" i="2"/>
  <c r="AL12" i="2"/>
  <c r="AI6" i="6"/>
  <c r="AF32" i="4"/>
  <c r="AF42" i="4" s="1"/>
  <c r="AG28" i="4"/>
  <c r="AG32" i="4" s="1"/>
  <c r="AG42" i="4" s="1"/>
  <c r="AJ6" i="6"/>
  <c r="AL28" i="4"/>
  <c r="AL32" i="4" s="1"/>
  <c r="AK32" i="4"/>
  <c r="AD5" i="3"/>
  <c r="AD6" i="6"/>
  <c r="AD7" i="6"/>
  <c r="AD8" i="6" s="1"/>
  <c r="AI35" i="6"/>
  <c r="AH8" i="3"/>
  <c r="AF36" i="6"/>
  <c r="AF35" i="6" s="1"/>
  <c r="AE35" i="6"/>
  <c r="AE5" i="3"/>
  <c r="AG5" i="3" s="1"/>
  <c r="AI33" i="6"/>
  <c r="AG18" i="6"/>
  <c r="AG70" i="6" s="1"/>
  <c r="AJ5" i="3"/>
  <c r="AI5" i="3"/>
  <c r="AO32" i="6"/>
  <c r="AO33" i="6" s="1"/>
  <c r="AO18" i="6"/>
  <c r="AO5" i="6" s="1"/>
  <c r="AO9" i="6" s="1"/>
  <c r="AH5" i="6"/>
  <c r="AH6" i="6" s="1"/>
  <c r="AL18" i="6"/>
  <c r="AP32" i="6"/>
  <c r="AP33" i="6" s="1"/>
  <c r="AP18" i="6"/>
  <c r="AP5" i="6" s="1"/>
  <c r="AP9" i="6" s="1"/>
  <c r="AH33" i="6"/>
  <c r="AN32" i="6"/>
  <c r="AN33" i="6" s="1"/>
  <c r="AN18" i="6"/>
  <c r="AG5" i="6"/>
  <c r="AG6" i="6" s="1"/>
  <c r="AJ33" i="6"/>
  <c r="S33" i="6"/>
  <c r="E7" i="6"/>
  <c r="J8" i="6" s="1"/>
  <c r="F7" i="6"/>
  <c r="K8" i="6" s="1"/>
  <c r="D7" i="6"/>
  <c r="I8" i="6" s="1"/>
  <c r="D5" i="6"/>
  <c r="D66" i="6" s="1"/>
  <c r="G7" i="3"/>
  <c r="G7" i="6" s="1"/>
  <c r="G30" i="3"/>
  <c r="F30" i="3"/>
  <c r="E30" i="3"/>
  <c r="D30" i="3"/>
  <c r="V26" i="3"/>
  <c r="Q26" i="3"/>
  <c r="L26" i="3"/>
  <c r="G26" i="3"/>
  <c r="AA23" i="3"/>
  <c r="AB23" i="3" s="1"/>
  <c r="V23" i="3"/>
  <c r="W23" i="3" s="1"/>
  <c r="Q23" i="3"/>
  <c r="R23" i="3" s="1"/>
  <c r="L23" i="3"/>
  <c r="M23" i="3" s="1"/>
  <c r="G23" i="3"/>
  <c r="AB19" i="3"/>
  <c r="AA18" i="3"/>
  <c r="AB18" i="3" s="1"/>
  <c r="AA17" i="3"/>
  <c r="AB17" i="3" s="1"/>
  <c r="W19" i="3"/>
  <c r="V18" i="3"/>
  <c r="W18" i="3" s="1"/>
  <c r="V17" i="3"/>
  <c r="W17" i="3" s="1"/>
  <c r="R19" i="3"/>
  <c r="Q18" i="3"/>
  <c r="R18" i="3" s="1"/>
  <c r="Q17" i="3"/>
  <c r="R17" i="3" s="1"/>
  <c r="L19" i="3"/>
  <c r="M19" i="3" s="1"/>
  <c r="L18" i="3"/>
  <c r="M18" i="3" s="1"/>
  <c r="L17" i="3"/>
  <c r="M17" i="3" s="1"/>
  <c r="G19" i="3"/>
  <c r="G18" i="3"/>
  <c r="L13" i="3"/>
  <c r="AA14" i="3"/>
  <c r="L14" i="3"/>
  <c r="AC8" i="3"/>
  <c r="AB8" i="3"/>
  <c r="Z8" i="3"/>
  <c r="Y8" i="3"/>
  <c r="X8" i="3"/>
  <c r="W8" i="3"/>
  <c r="U8" i="3"/>
  <c r="T8" i="3"/>
  <c r="S8" i="3"/>
  <c r="R8" i="3"/>
  <c r="P8" i="3"/>
  <c r="O8" i="3"/>
  <c r="N8" i="3"/>
  <c r="K8" i="3"/>
  <c r="J8" i="3"/>
  <c r="I8" i="3"/>
  <c r="AC10" i="3"/>
  <c r="AG10" i="3" s="1"/>
  <c r="Z10" i="3"/>
  <c r="Z48" i="4" s="1"/>
  <c r="Y10" i="3"/>
  <c r="Y48" i="4" s="1"/>
  <c r="X10" i="3"/>
  <c r="X48" i="4" s="1"/>
  <c r="W10" i="3"/>
  <c r="W48" i="4" s="1"/>
  <c r="U10" i="3"/>
  <c r="U48" i="4" s="1"/>
  <c r="T10" i="3"/>
  <c r="T48" i="4" s="1"/>
  <c r="S10" i="3"/>
  <c r="S48" i="4" s="1"/>
  <c r="R10" i="3"/>
  <c r="R48" i="4" s="1"/>
  <c r="P10" i="3"/>
  <c r="P48" i="4" s="1"/>
  <c r="O10" i="3"/>
  <c r="O48" i="4" s="1"/>
  <c r="N10" i="3"/>
  <c r="N48" i="4" s="1"/>
  <c r="K10" i="3"/>
  <c r="K48" i="4" s="1"/>
  <c r="J10" i="3"/>
  <c r="J48" i="4" s="1"/>
  <c r="I10" i="3"/>
  <c r="I48" i="4" s="1"/>
  <c r="H10" i="3"/>
  <c r="H48" i="4" s="1"/>
  <c r="F10" i="3"/>
  <c r="F48" i="4" s="1"/>
  <c r="E10" i="3"/>
  <c r="E48" i="4" s="1"/>
  <c r="D10" i="3"/>
  <c r="D48" i="4" s="1"/>
  <c r="AL22" i="6" l="1"/>
  <c r="AL32" i="6" s="1"/>
  <c r="AL70" i="6"/>
  <c r="AG22" i="6"/>
  <c r="AG32" i="6" s="1"/>
  <c r="AG33" i="6" s="1"/>
  <c r="AD9" i="6"/>
  <c r="AG48" i="4"/>
  <c r="AG49" i="4"/>
  <c r="I6" i="6"/>
  <c r="L10" i="3"/>
  <c r="L48" i="4" s="1"/>
  <c r="AE7" i="6"/>
  <c r="AE8" i="6" s="1"/>
  <c r="AJ35" i="6"/>
  <c r="AK35" i="6"/>
  <c r="AF7" i="6"/>
  <c r="AF8" i="6" s="1"/>
  <c r="AG35" i="6"/>
  <c r="AG36" i="6" s="1"/>
  <c r="AI7" i="3"/>
  <c r="AI7" i="6"/>
  <c r="AI8" i="6" s="1"/>
  <c r="AD7" i="3"/>
  <c r="AG23" i="6"/>
  <c r="AL5" i="6"/>
  <c r="AL6" i="6" s="1"/>
  <c r="AH9" i="6"/>
  <c r="AH5" i="3"/>
  <c r="AL5" i="3" s="1"/>
  <c r="AN5" i="6"/>
  <c r="AR18" i="6"/>
  <c r="AR22" i="6" s="1"/>
  <c r="AR32" i="6" s="1"/>
  <c r="D35" i="6"/>
  <c r="I36" i="6" s="1"/>
  <c r="H7" i="6"/>
  <c r="H35" i="6" s="1"/>
  <c r="AA10" i="3"/>
  <c r="G35" i="6"/>
  <c r="F9" i="6"/>
  <c r="F35" i="6"/>
  <c r="K36" i="6" s="1"/>
  <c r="E9" i="6"/>
  <c r="E35" i="6"/>
  <c r="J36" i="6" s="1"/>
  <c r="D18" i="6"/>
  <c r="D9" i="6"/>
  <c r="Q10" i="3"/>
  <c r="Q48" i="4" s="1"/>
  <c r="H23" i="3"/>
  <c r="V10" i="3"/>
  <c r="V48" i="4" s="1"/>
  <c r="G10" i="3"/>
  <c r="G48" i="4" s="1"/>
  <c r="AD11" i="6" l="1"/>
  <c r="D22" i="6"/>
  <c r="AL23" i="6"/>
  <c r="AL33" i="6"/>
  <c r="AL35" i="6"/>
  <c r="AG7" i="6"/>
  <c r="AB10" i="3"/>
  <c r="AB48" i="4" s="1"/>
  <c r="AA48" i="4"/>
  <c r="AG9" i="6"/>
  <c r="AG15" i="6" s="1"/>
  <c r="AG8" i="6"/>
  <c r="AL36" i="6"/>
  <c r="AD8" i="3"/>
  <c r="AI9" i="6"/>
  <c r="AJ7" i="3"/>
  <c r="AJ9" i="3" s="1"/>
  <c r="AJ7" i="6"/>
  <c r="AI8" i="3"/>
  <c r="AF7" i="3"/>
  <c r="AF9" i="3" s="1"/>
  <c r="AF9" i="6"/>
  <c r="AK7" i="6"/>
  <c r="AK7" i="3"/>
  <c r="AK9" i="3" s="1"/>
  <c r="AE7" i="3"/>
  <c r="AE8" i="3" s="1"/>
  <c r="AE9" i="6"/>
  <c r="AR33" i="6"/>
  <c r="AN9" i="6"/>
  <c r="AR5" i="6"/>
  <c r="AR9" i="6" s="1"/>
  <c r="I23" i="6"/>
  <c r="D32" i="6"/>
  <c r="I33" i="6" s="1"/>
  <c r="AL6" i="3"/>
  <c r="AK6" i="3"/>
  <c r="AJ6" i="3"/>
  <c r="AI6" i="3"/>
  <c r="AH6" i="3"/>
  <c r="AG6" i="3"/>
  <c r="AE6" i="3"/>
  <c r="AD6" i="3"/>
  <c r="AC6" i="3"/>
  <c r="AB6" i="3"/>
  <c r="Z6" i="3"/>
  <c r="Y6" i="3"/>
  <c r="X6" i="3"/>
  <c r="W6" i="3"/>
  <c r="U6" i="3"/>
  <c r="T6" i="3"/>
  <c r="S6" i="3"/>
  <c r="R6" i="3"/>
  <c r="P6" i="3"/>
  <c r="O6" i="3"/>
  <c r="N6" i="3"/>
  <c r="M6" i="3"/>
  <c r="K6" i="3"/>
  <c r="J6" i="3"/>
  <c r="I6" i="3"/>
  <c r="AF6" i="3"/>
  <c r="V7" i="3"/>
  <c r="V7" i="6" s="1"/>
  <c r="V5" i="3"/>
  <c r="V5" i="6" s="1"/>
  <c r="AI9" i="3"/>
  <c r="AH9" i="3"/>
  <c r="AD9" i="3"/>
  <c r="AC9" i="3"/>
  <c r="Z9" i="3"/>
  <c r="Y9" i="3"/>
  <c r="X9" i="3"/>
  <c r="U9" i="3"/>
  <c r="T9" i="3"/>
  <c r="S9" i="3"/>
  <c r="Q5" i="3"/>
  <c r="Q5" i="6" s="1"/>
  <c r="Q66" i="6" s="1"/>
  <c r="Q7" i="3"/>
  <c r="Q7" i="6" s="1"/>
  <c r="P9" i="3"/>
  <c r="O9" i="3"/>
  <c r="N9" i="3"/>
  <c r="N47" i="4" s="1"/>
  <c r="N50" i="4" s="1"/>
  <c r="L5" i="3"/>
  <c r="L5" i="6" s="1"/>
  <c r="L66" i="6" s="1"/>
  <c r="L7" i="3"/>
  <c r="L7" i="6" s="1"/>
  <c r="L8" i="6" s="1"/>
  <c r="K9" i="3"/>
  <c r="J9" i="3"/>
  <c r="I9" i="3"/>
  <c r="AF55" i="4" l="1"/>
  <c r="AF7" i="2" s="1"/>
  <c r="AF53" i="4"/>
  <c r="AF18" i="2" s="1"/>
  <c r="AF25" i="2" s="1"/>
  <c r="AK10" i="4"/>
  <c r="AL10" i="4" s="1"/>
  <c r="AK53" i="4"/>
  <c r="AK18" i="2" s="1"/>
  <c r="AK25" i="2" s="1"/>
  <c r="AK55" i="4"/>
  <c r="AK7" i="2" s="1"/>
  <c r="AJ10" i="4"/>
  <c r="AK11" i="2" s="1"/>
  <c r="AJ53" i="4"/>
  <c r="AJ18" i="2" s="1"/>
  <c r="AJ25" i="2" s="1"/>
  <c r="AJ55" i="4"/>
  <c r="AJ7" i="2" s="1"/>
  <c r="AD55" i="4"/>
  <c r="AD7" i="2" s="1"/>
  <c r="AD53" i="4"/>
  <c r="AH10" i="4"/>
  <c r="AH53" i="4"/>
  <c r="AH18" i="2" s="1"/>
  <c r="AH55" i="4"/>
  <c r="AH7" i="2" s="1"/>
  <c r="AI10" i="4"/>
  <c r="AI53" i="4"/>
  <c r="AI18" i="2" s="1"/>
  <c r="AI25" i="2" s="1"/>
  <c r="AI55" i="4"/>
  <c r="AI7" i="2" s="1"/>
  <c r="AH11" i="3"/>
  <c r="AH13" i="3"/>
  <c r="AH14" i="3"/>
  <c r="AF11" i="3"/>
  <c r="AF31" i="3" s="1"/>
  <c r="AF13" i="3"/>
  <c r="AF14" i="3"/>
  <c r="AF10" i="4"/>
  <c r="AI11" i="3"/>
  <c r="AI14" i="3"/>
  <c r="AI13" i="3"/>
  <c r="AJ11" i="3"/>
  <c r="AJ14" i="3"/>
  <c r="AJ13" i="3"/>
  <c r="U33" i="3"/>
  <c r="U47" i="4"/>
  <c r="U50" i="4" s="1"/>
  <c r="X33" i="3"/>
  <c r="X47" i="4"/>
  <c r="X50" i="4" s="1"/>
  <c r="Y33" i="3"/>
  <c r="Y47" i="4"/>
  <c r="Y50" i="4" s="1"/>
  <c r="Z33" i="3"/>
  <c r="Z47" i="4"/>
  <c r="Z50" i="4" s="1"/>
  <c r="AK13" i="3"/>
  <c r="AK14" i="3"/>
  <c r="AK11" i="3"/>
  <c r="J33" i="3"/>
  <c r="J47" i="4"/>
  <c r="J50" i="4" s="1"/>
  <c r="K33" i="3"/>
  <c r="K47" i="4"/>
  <c r="K50" i="4" s="1"/>
  <c r="P33" i="3"/>
  <c r="P47" i="4"/>
  <c r="P50" i="4" s="1"/>
  <c r="O33" i="3"/>
  <c r="O47" i="4"/>
  <c r="O50" i="4" s="1"/>
  <c r="T33" i="3"/>
  <c r="T47" i="4"/>
  <c r="T50" i="4" s="1"/>
  <c r="AD11" i="3"/>
  <c r="AD31" i="3" s="1"/>
  <c r="AD14" i="3"/>
  <c r="AD13" i="3"/>
  <c r="AD10" i="4"/>
  <c r="I33" i="3"/>
  <c r="I47" i="4"/>
  <c r="I50" i="4" s="1"/>
  <c r="S33" i="3"/>
  <c r="S47" i="4"/>
  <c r="S50" i="4" s="1"/>
  <c r="AK9" i="6"/>
  <c r="AK8" i="6"/>
  <c r="V8" i="6"/>
  <c r="AA8" i="6"/>
  <c r="Q8" i="6"/>
  <c r="AJ9" i="6"/>
  <c r="AJ8" i="6"/>
  <c r="W5" i="6"/>
  <c r="W66" i="6" s="1"/>
  <c r="W69" i="6" s="1"/>
  <c r="V6" i="6"/>
  <c r="AA6" i="6"/>
  <c r="R5" i="6"/>
  <c r="R66" i="6" s="1"/>
  <c r="R69" i="6" s="1"/>
  <c r="Q6" i="6"/>
  <c r="M5" i="6"/>
  <c r="M66" i="6" s="1"/>
  <c r="M69" i="6" s="1"/>
  <c r="AK8" i="3"/>
  <c r="AJ8" i="3"/>
  <c r="AL7" i="6"/>
  <c r="AL7" i="3"/>
  <c r="AE9" i="3"/>
  <c r="AG7" i="3"/>
  <c r="AG8" i="3" s="1"/>
  <c r="Q35" i="6"/>
  <c r="R7" i="6"/>
  <c r="V35" i="6"/>
  <c r="W7" i="6"/>
  <c r="L35" i="6"/>
  <c r="L36" i="6" s="1"/>
  <c r="M7" i="6"/>
  <c r="L18" i="6"/>
  <c r="L9" i="6"/>
  <c r="Q18" i="6"/>
  <c r="Q9" i="6"/>
  <c r="V9" i="6"/>
  <c r="V66" i="6" s="1"/>
  <c r="V18" i="6"/>
  <c r="AC32" i="3"/>
  <c r="AC33" i="3"/>
  <c r="O11" i="3"/>
  <c r="O32" i="3"/>
  <c r="P11" i="3"/>
  <c r="P32" i="3"/>
  <c r="V6" i="3"/>
  <c r="S11" i="3"/>
  <c r="S31" i="3" s="1"/>
  <c r="S32" i="3"/>
  <c r="T11" i="3"/>
  <c r="T32" i="3"/>
  <c r="U11" i="3"/>
  <c r="U32" i="3"/>
  <c r="X11" i="3"/>
  <c r="X31" i="3" s="1"/>
  <c r="X32" i="3"/>
  <c r="Q6" i="3"/>
  <c r="I11" i="3"/>
  <c r="I31" i="3" s="1"/>
  <c r="I32" i="3"/>
  <c r="N11" i="3"/>
  <c r="N31" i="3" s="1"/>
  <c r="N32" i="3"/>
  <c r="N33" i="3"/>
  <c r="Y11" i="3"/>
  <c r="Y32" i="3"/>
  <c r="Z11" i="3"/>
  <c r="Z32" i="3"/>
  <c r="AL9" i="3"/>
  <c r="J11" i="3"/>
  <c r="J32" i="3"/>
  <c r="K11" i="3"/>
  <c r="K32" i="3"/>
  <c r="V9" i="3"/>
  <c r="V8" i="3"/>
  <c r="AA8" i="3"/>
  <c r="AF8" i="3"/>
  <c r="AA6" i="3"/>
  <c r="Q8" i="3"/>
  <c r="AC11" i="3"/>
  <c r="AC31" i="3" s="1"/>
  <c r="AA9" i="3"/>
  <c r="AA47" i="4" s="1"/>
  <c r="AA50" i="4" s="1"/>
  <c r="Q9" i="3"/>
  <c r="Q47" i="4" s="1"/>
  <c r="Q50" i="4" s="1"/>
  <c r="L9" i="3"/>
  <c r="AJ11" i="2" l="1"/>
  <c r="AL53" i="4"/>
  <c r="AL55" i="4"/>
  <c r="AL7" i="2" s="1"/>
  <c r="AI11" i="2"/>
  <c r="AF15" i="3"/>
  <c r="AF20" i="3" s="1"/>
  <c r="AL47" i="4"/>
  <c r="AL50" i="4" s="1"/>
  <c r="AE55" i="4"/>
  <c r="AE7" i="2" s="1"/>
  <c r="AE53" i="4"/>
  <c r="AE18" i="2" s="1"/>
  <c r="AE25" i="2" s="1"/>
  <c r="AL18" i="2"/>
  <c r="AL25" i="2" s="1"/>
  <c r="AH25" i="2"/>
  <c r="AD18" i="2"/>
  <c r="AD15" i="4"/>
  <c r="AD11" i="2"/>
  <c r="M9" i="3"/>
  <c r="M47" i="4" s="1"/>
  <c r="M50" i="4" s="1"/>
  <c r="L47" i="4"/>
  <c r="L50" i="4" s="1"/>
  <c r="AJ15" i="3"/>
  <c r="AJ31" i="3"/>
  <c r="AI15" i="3"/>
  <c r="AI31" i="3"/>
  <c r="AG10" i="4"/>
  <c r="AK31" i="3"/>
  <c r="AK15" i="3"/>
  <c r="AL14" i="3"/>
  <c r="AL33" i="3" s="1"/>
  <c r="V33" i="3"/>
  <c r="V47" i="4"/>
  <c r="V50" i="4" s="1"/>
  <c r="AD15" i="3"/>
  <c r="AL13" i="3"/>
  <c r="AL32" i="3" s="1"/>
  <c r="AF34" i="3"/>
  <c r="AE11" i="3"/>
  <c r="AE14" i="3"/>
  <c r="AG14" i="3" s="1"/>
  <c r="AE13" i="3"/>
  <c r="AG13" i="3" s="1"/>
  <c r="AE10" i="4"/>
  <c r="AE11" i="2" s="1"/>
  <c r="AH31" i="3"/>
  <c r="AH15" i="3"/>
  <c r="AL11" i="3"/>
  <c r="AL31" i="3" s="1"/>
  <c r="W35" i="6"/>
  <c r="W8" i="6"/>
  <c r="AB8" i="6"/>
  <c r="AL9" i="6"/>
  <c r="AL8" i="6"/>
  <c r="M35" i="6"/>
  <c r="M36" i="6" s="1"/>
  <c r="M8" i="6"/>
  <c r="R35" i="6"/>
  <c r="R8" i="6"/>
  <c r="R6" i="6"/>
  <c r="W6" i="6"/>
  <c r="AB6" i="6"/>
  <c r="Q36" i="6"/>
  <c r="AL8" i="3"/>
  <c r="V36" i="6"/>
  <c r="AA36" i="6"/>
  <c r="AG9" i="3"/>
  <c r="AG55" i="4" s="1"/>
  <c r="AG7" i="2" s="1"/>
  <c r="W9" i="6"/>
  <c r="I15" i="3"/>
  <c r="I20" i="3" s="1"/>
  <c r="M9" i="6"/>
  <c r="R9" i="6"/>
  <c r="Q32" i="3"/>
  <c r="Q33" i="3"/>
  <c r="L32" i="3"/>
  <c r="L33" i="3"/>
  <c r="V22" i="6"/>
  <c r="W18" i="6"/>
  <c r="W22" i="6" s="1"/>
  <c r="Q22" i="6"/>
  <c r="R18" i="6"/>
  <c r="R70" i="6" s="1"/>
  <c r="X15" i="3"/>
  <c r="S15" i="3"/>
  <c r="S34" i="3" s="1"/>
  <c r="L22" i="6"/>
  <c r="M18" i="6"/>
  <c r="M22" i="6" s="1"/>
  <c r="M32" i="6" s="1"/>
  <c r="AA32" i="3"/>
  <c r="AA33" i="3"/>
  <c r="V11" i="3"/>
  <c r="V32" i="3"/>
  <c r="T15" i="3"/>
  <c r="T31" i="3"/>
  <c r="Z15" i="3"/>
  <c r="Z31" i="3"/>
  <c r="P15" i="3"/>
  <c r="P31" i="3"/>
  <c r="U15" i="3"/>
  <c r="U31" i="3"/>
  <c r="Y15" i="3"/>
  <c r="Y31" i="3"/>
  <c r="K15" i="3"/>
  <c r="K31" i="3"/>
  <c r="J15" i="3"/>
  <c r="J31" i="3"/>
  <c r="N15" i="3"/>
  <c r="O15" i="3"/>
  <c r="O31" i="3"/>
  <c r="W9" i="3"/>
  <c r="W47" i="4" s="1"/>
  <c r="W50" i="4" s="1"/>
  <c r="AC15" i="3"/>
  <c r="AC34" i="3" s="1"/>
  <c r="AB9" i="3"/>
  <c r="AB47" i="4" s="1"/>
  <c r="AB50" i="4" s="1"/>
  <c r="AA11" i="3"/>
  <c r="AA31" i="3" s="1"/>
  <c r="R9" i="3"/>
  <c r="R47" i="4" s="1"/>
  <c r="R50" i="4" s="1"/>
  <c r="Q11" i="3"/>
  <c r="Q31" i="3" s="1"/>
  <c r="L11" i="3"/>
  <c r="W70" i="6" l="1"/>
  <c r="M70" i="6"/>
  <c r="AE15" i="4"/>
  <c r="AF15" i="4" s="1"/>
  <c r="AG15" i="4" s="1"/>
  <c r="AH15" i="4" s="1"/>
  <c r="AI15" i="4" s="1"/>
  <c r="AJ15" i="4" s="1"/>
  <c r="AK15" i="4" s="1"/>
  <c r="AL15" i="4" s="1"/>
  <c r="AV7" i="6"/>
  <c r="AV6" i="6"/>
  <c r="AE15" i="3"/>
  <c r="AG15" i="3" s="1"/>
  <c r="AG18" i="2"/>
  <c r="AG25" i="2" s="1"/>
  <c r="AD25" i="2"/>
  <c r="AL15" i="6"/>
  <c r="E20" i="5"/>
  <c r="AH11" i="2"/>
  <c r="AF11" i="2"/>
  <c r="AG11" i="2" s="1"/>
  <c r="AG47" i="4"/>
  <c r="AG50" i="4" s="1"/>
  <c r="R36" i="6"/>
  <c r="AE20" i="3"/>
  <c r="AE34" i="3"/>
  <c r="AF24" i="3"/>
  <c r="AF35" i="3"/>
  <c r="AF22" i="3"/>
  <c r="AD20" i="3"/>
  <c r="AD34" i="3"/>
  <c r="AK20" i="3"/>
  <c r="AK35" i="3" s="1"/>
  <c r="AK34" i="3"/>
  <c r="AG33" i="3"/>
  <c r="AI34" i="3"/>
  <c r="AI20" i="3"/>
  <c r="AI35" i="3" s="1"/>
  <c r="AE31" i="3"/>
  <c r="AH34" i="3"/>
  <c r="AH20" i="3"/>
  <c r="AH35" i="3" s="1"/>
  <c r="AL15" i="3"/>
  <c r="AG32" i="3"/>
  <c r="AG11" i="3"/>
  <c r="AG31" i="3" s="1"/>
  <c r="AJ34" i="3"/>
  <c r="AJ20" i="3"/>
  <c r="AJ35" i="3" s="1"/>
  <c r="W36" i="6"/>
  <c r="I35" i="3"/>
  <c r="I24" i="3"/>
  <c r="I34" i="3"/>
  <c r="AB36" i="6"/>
  <c r="I22" i="3"/>
  <c r="L31" i="3"/>
  <c r="M11" i="3"/>
  <c r="M31" i="3" s="1"/>
  <c r="M33" i="3"/>
  <c r="M32" i="3"/>
  <c r="W32" i="3"/>
  <c r="W33" i="3"/>
  <c r="K20" i="3"/>
  <c r="K35" i="3" s="1"/>
  <c r="K34" i="3"/>
  <c r="J20" i="3"/>
  <c r="J35" i="3" s="1"/>
  <c r="J34" i="3"/>
  <c r="N20" i="3"/>
  <c r="N34" i="3"/>
  <c r="U20" i="3"/>
  <c r="U35" i="3" s="1"/>
  <c r="U34" i="3"/>
  <c r="L32" i="6"/>
  <c r="Q32" i="6"/>
  <c r="Q23" i="6"/>
  <c r="I27" i="3"/>
  <c r="I36" i="3"/>
  <c r="Y20" i="3"/>
  <c r="Y35" i="3" s="1"/>
  <c r="Y34" i="3"/>
  <c r="R32" i="3"/>
  <c r="R33" i="3"/>
  <c r="P20" i="3"/>
  <c r="P35" i="3" s="1"/>
  <c r="P34" i="3"/>
  <c r="W32" i="6"/>
  <c r="AB23" i="6"/>
  <c r="T20" i="3"/>
  <c r="T35" i="3" s="1"/>
  <c r="T34" i="3"/>
  <c r="O20" i="3"/>
  <c r="O35" i="3" s="1"/>
  <c r="O34" i="3"/>
  <c r="X20" i="3"/>
  <c r="X34" i="3"/>
  <c r="V32" i="6"/>
  <c r="AA23" i="6"/>
  <c r="V23" i="6"/>
  <c r="S20" i="3"/>
  <c r="S35" i="3" s="1"/>
  <c r="Z20" i="3"/>
  <c r="Z35" i="3" s="1"/>
  <c r="Z34" i="3"/>
  <c r="AB32" i="3"/>
  <c r="AB33" i="3"/>
  <c r="V15" i="3"/>
  <c r="V31" i="3"/>
  <c r="W11" i="3"/>
  <c r="W31" i="3" s="1"/>
  <c r="AC20" i="3"/>
  <c r="AC35" i="3" s="1"/>
  <c r="Q15" i="3"/>
  <c r="Q34" i="3" s="1"/>
  <c r="R11" i="3"/>
  <c r="R31" i="3" s="1"/>
  <c r="L15" i="3"/>
  <c r="L34" i="3" s="1"/>
  <c r="AA15" i="3"/>
  <c r="AA34" i="3" s="1"/>
  <c r="AB11" i="3"/>
  <c r="AB31" i="3" s="1"/>
  <c r="AF27" i="3" l="1"/>
  <c r="AF6" i="2"/>
  <c r="AF36" i="3"/>
  <c r="AF15" i="2"/>
  <c r="AF42" i="2" s="1"/>
  <c r="AL11" i="2"/>
  <c r="AG20" i="3"/>
  <c r="AG34" i="3"/>
  <c r="AI24" i="3"/>
  <c r="AI22" i="3"/>
  <c r="Y22" i="3"/>
  <c r="AH24" i="3"/>
  <c r="AH22" i="3"/>
  <c r="AK24" i="3"/>
  <c r="AK22" i="3"/>
  <c r="AD24" i="3"/>
  <c r="AD22" i="3"/>
  <c r="AD35" i="3"/>
  <c r="AL20" i="3"/>
  <c r="AL35" i="3" s="1"/>
  <c r="AL34" i="3"/>
  <c r="AJ24" i="3"/>
  <c r="AJ22" i="3"/>
  <c r="AE24" i="3"/>
  <c r="AE35" i="3"/>
  <c r="AE22" i="3"/>
  <c r="P22" i="3"/>
  <c r="K22" i="3"/>
  <c r="K24" i="3"/>
  <c r="K27" i="3" s="1"/>
  <c r="J24" i="3"/>
  <c r="T24" i="3"/>
  <c r="T36" i="3" s="1"/>
  <c r="P24" i="3"/>
  <c r="P27" i="3" s="1"/>
  <c r="J22" i="3"/>
  <c r="T22" i="3"/>
  <c r="T27" i="3"/>
  <c r="V33" i="6"/>
  <c r="AA33" i="6"/>
  <c r="Q33" i="6"/>
  <c r="J27" i="3"/>
  <c r="J36" i="3"/>
  <c r="X35" i="3"/>
  <c r="X24" i="3"/>
  <c r="X22" i="3"/>
  <c r="V20" i="3"/>
  <c r="V35" i="3" s="1"/>
  <c r="V34" i="3"/>
  <c r="Y24" i="3"/>
  <c r="O22" i="3"/>
  <c r="O24" i="3"/>
  <c r="Z22" i="3"/>
  <c r="S22" i="3"/>
  <c r="U22" i="3"/>
  <c r="N24" i="3"/>
  <c r="N35" i="3"/>
  <c r="Z24" i="3"/>
  <c r="N22" i="3"/>
  <c r="S24" i="3"/>
  <c r="U24" i="3"/>
  <c r="AB33" i="6"/>
  <c r="W15" i="3"/>
  <c r="AC24" i="3"/>
  <c r="AC22" i="3"/>
  <c r="AB15" i="3"/>
  <c r="AA20" i="3"/>
  <c r="AA35" i="3" s="1"/>
  <c r="M15" i="3"/>
  <c r="L20" i="3"/>
  <c r="L35" i="3" s="1"/>
  <c r="R15" i="3"/>
  <c r="Q20" i="3"/>
  <c r="Q35" i="3" s="1"/>
  <c r="AD27" i="3" l="1"/>
  <c r="AD6" i="2"/>
  <c r="AD15" i="2" s="1"/>
  <c r="AD36" i="3"/>
  <c r="AI27" i="3"/>
  <c r="AI36" i="3"/>
  <c r="AI6" i="2"/>
  <c r="AI15" i="2" s="1"/>
  <c r="AI42" i="2" s="1"/>
  <c r="AJ27" i="3"/>
  <c r="AJ36" i="3"/>
  <c r="AJ6" i="2"/>
  <c r="AJ15" i="2" s="1"/>
  <c r="AJ42" i="2" s="1"/>
  <c r="AK27" i="3"/>
  <c r="AK6" i="2"/>
  <c r="AK15" i="2" s="1"/>
  <c r="AK42" i="2" s="1"/>
  <c r="AK36" i="3"/>
  <c r="AE27" i="3"/>
  <c r="AE6" i="2"/>
  <c r="AE15" i="2" s="1"/>
  <c r="AE42" i="2" s="1"/>
  <c r="AE36" i="3"/>
  <c r="AH27" i="3"/>
  <c r="AH36" i="3"/>
  <c r="AH6" i="2"/>
  <c r="AH15" i="2" s="1"/>
  <c r="AL24" i="3"/>
  <c r="AL22" i="3"/>
  <c r="AG24" i="3"/>
  <c r="AG35" i="3"/>
  <c r="AG22" i="3"/>
  <c r="K36" i="3"/>
  <c r="V22" i="3"/>
  <c r="P36" i="3"/>
  <c r="W20" i="3"/>
  <c r="W35" i="3" s="1"/>
  <c r="W34" i="3"/>
  <c r="U27" i="3"/>
  <c r="U36" i="3"/>
  <c r="N27" i="3"/>
  <c r="N36" i="3"/>
  <c r="M20" i="3"/>
  <c r="M35" i="3" s="1"/>
  <c r="M34" i="3"/>
  <c r="AC27" i="3"/>
  <c r="AC36" i="3"/>
  <c r="Y27" i="3"/>
  <c r="Y36" i="3"/>
  <c r="V24" i="3"/>
  <c r="X27" i="3"/>
  <c r="X36" i="3"/>
  <c r="O27" i="3"/>
  <c r="O36" i="3"/>
  <c r="S27" i="3"/>
  <c r="S36" i="3"/>
  <c r="Z27" i="3"/>
  <c r="Z36" i="3"/>
  <c r="R20" i="3"/>
  <c r="R35" i="3" s="1"/>
  <c r="R34" i="3"/>
  <c r="AB20" i="3"/>
  <c r="AB35" i="3" s="1"/>
  <c r="AB34" i="3"/>
  <c r="L24" i="3"/>
  <c r="L22" i="3"/>
  <c r="Q24" i="3"/>
  <c r="Q22" i="3"/>
  <c r="AB24" i="3"/>
  <c r="AA24" i="3"/>
  <c r="AA22" i="3"/>
  <c r="AL15" i="2" l="1"/>
  <c r="AL42" i="2" s="1"/>
  <c r="AH42" i="2"/>
  <c r="AG27" i="3"/>
  <c r="AG6" i="2"/>
  <c r="AG36" i="3"/>
  <c r="AG15" i="2"/>
  <c r="AG42" i="2" s="1"/>
  <c r="AD42" i="2"/>
  <c r="AL27" i="3"/>
  <c r="AL6" i="2"/>
  <c r="AL36" i="3"/>
  <c r="W24" i="3"/>
  <c r="W22" i="3"/>
  <c r="R22" i="3"/>
  <c r="R24" i="3"/>
  <c r="AB22" i="3"/>
  <c r="M24" i="3"/>
  <c r="M22" i="3"/>
  <c r="M27" i="3"/>
  <c r="M36" i="3"/>
  <c r="V27" i="3"/>
  <c r="V36" i="3"/>
  <c r="R27" i="3"/>
  <c r="R36" i="3"/>
  <c r="W27" i="3"/>
  <c r="W36" i="3"/>
  <c r="Q27" i="3"/>
  <c r="Q36" i="3"/>
  <c r="L27" i="3"/>
  <c r="L36" i="3"/>
  <c r="AB27" i="3"/>
  <c r="AB36" i="3"/>
  <c r="AA27" i="3"/>
  <c r="AA36" i="3"/>
  <c r="G5" i="3"/>
  <c r="E9" i="3"/>
  <c r="E47" i="4" s="1"/>
  <c r="E50" i="4" s="1"/>
  <c r="F9" i="3"/>
  <c r="F47" i="4" s="1"/>
  <c r="F50" i="4" s="1"/>
  <c r="D9" i="3"/>
  <c r="D47" i="4" s="1"/>
  <c r="D50" i="4" s="1"/>
  <c r="L6" i="3" l="1"/>
  <c r="G5" i="6"/>
  <c r="G66" i="6" s="1"/>
  <c r="D11" i="3"/>
  <c r="D31" i="3" s="1"/>
  <c r="D32" i="3"/>
  <c r="D33" i="3"/>
  <c r="F11" i="3"/>
  <c r="F33" i="3"/>
  <c r="F32" i="3"/>
  <c r="E11" i="3"/>
  <c r="E33" i="3"/>
  <c r="E32" i="3"/>
  <c r="D15" i="3"/>
  <c r="H5" i="6" l="1"/>
  <c r="H66" i="6" s="1"/>
  <c r="H69" i="6" s="1"/>
  <c r="L6" i="6"/>
  <c r="D20" i="3"/>
  <c r="D35" i="3" s="1"/>
  <c r="D34" i="3"/>
  <c r="G18" i="6"/>
  <c r="H18" i="6" s="1"/>
  <c r="G9" i="6"/>
  <c r="E15" i="3"/>
  <c r="E31" i="3"/>
  <c r="F15" i="3"/>
  <c r="F31" i="3"/>
  <c r="D24" i="3"/>
  <c r="D22" i="3"/>
  <c r="G9" i="3"/>
  <c r="G47" i="4" s="1"/>
  <c r="G50" i="4" s="1"/>
  <c r="L8" i="3"/>
  <c r="H70" i="6" l="1"/>
  <c r="H22" i="6"/>
  <c r="H9" i="6"/>
  <c r="M6" i="6"/>
  <c r="D27" i="3"/>
  <c r="D36" i="3"/>
  <c r="F20" i="3"/>
  <c r="F35" i="3" s="1"/>
  <c r="F34" i="3"/>
  <c r="E20" i="3"/>
  <c r="E35" i="3" s="1"/>
  <c r="E34" i="3"/>
  <c r="G22" i="6"/>
  <c r="F24" i="3"/>
  <c r="F22" i="3"/>
  <c r="G32" i="3"/>
  <c r="G33" i="3"/>
  <c r="H9" i="3"/>
  <c r="H47" i="4" s="1"/>
  <c r="H50" i="4" s="1"/>
  <c r="G11" i="3"/>
  <c r="G31" i="3" s="1"/>
  <c r="E22" i="3" l="1"/>
  <c r="E24" i="3"/>
  <c r="H32" i="3"/>
  <c r="H33" i="3"/>
  <c r="G32" i="6"/>
  <c r="L33" i="6" s="1"/>
  <c r="L23" i="6"/>
  <c r="E27" i="3"/>
  <c r="E36" i="3"/>
  <c r="M23" i="6"/>
  <c r="H32" i="6"/>
  <c r="M33" i="6" s="1"/>
  <c r="F27" i="3"/>
  <c r="F36" i="3"/>
  <c r="G15" i="3"/>
  <c r="G34" i="3" s="1"/>
  <c r="H11" i="3"/>
  <c r="H31" i="3" s="1"/>
  <c r="H15" i="3" l="1"/>
  <c r="G20" i="3"/>
  <c r="G35" i="3" s="1"/>
  <c r="H35" i="3" l="1"/>
  <c r="H34" i="3"/>
  <c r="G24" i="3"/>
  <c r="G22" i="3"/>
  <c r="H24" i="3"/>
  <c r="H6" i="2" s="1"/>
  <c r="H15" i="2" s="1"/>
  <c r="H22" i="3"/>
  <c r="R22" i="6"/>
  <c r="R32" i="6" s="1"/>
  <c r="H27" i="3" l="1"/>
  <c r="H36" i="3"/>
  <c r="G27" i="3"/>
  <c r="G36" i="3"/>
  <c r="R33" i="6"/>
  <c r="W33" i="6"/>
  <c r="R23" i="6"/>
  <c r="W23" i="6"/>
  <c r="AL37" i="4"/>
  <c r="AL40" i="4" s="1"/>
  <c r="AL42" i="4" s="1"/>
  <c r="AJ40" i="4"/>
  <c r="AJ42" i="4" s="1"/>
  <c r="AK40" i="4"/>
  <c r="AK42" i="4" s="1"/>
  <c r="AG53" i="4"/>
  <c r="H53" i="4" l="1"/>
  <c r="H54" i="4" s="1"/>
  <c r="H25" i="2"/>
  <c r="H42" i="2" s="1"/>
  <c r="H44" i="2" s="1"/>
  <c r="I43" i="2" l="1"/>
  <c r="I44" i="2" s="1"/>
  <c r="M43" i="2"/>
  <c r="M44" i="2" s="1"/>
  <c r="N43" i="2" l="1"/>
  <c r="N44" i="2" s="1"/>
  <c r="R43" i="2"/>
  <c r="R44" i="2" s="1"/>
  <c r="J43" i="2"/>
  <c r="J44" i="2" s="1"/>
  <c r="I7" i="4"/>
  <c r="I13" i="4" s="1"/>
  <c r="I17" i="4" s="1"/>
  <c r="I44" i="4" s="1"/>
  <c r="S43" i="2" l="1"/>
  <c r="S44" i="2" s="1"/>
  <c r="W43" i="2"/>
  <c r="W44" i="2" s="1"/>
  <c r="K43" i="2"/>
  <c r="K44" i="2" s="1"/>
  <c r="J7" i="4"/>
  <c r="J13" i="4" s="1"/>
  <c r="J17" i="4" s="1"/>
  <c r="J44" i="4" s="1"/>
  <c r="O43" i="2"/>
  <c r="O44" i="2" s="1"/>
  <c r="N7" i="4"/>
  <c r="N13" i="4" s="1"/>
  <c r="N17" i="4" s="1"/>
  <c r="N44" i="4" s="1"/>
  <c r="L43" i="2" l="1"/>
  <c r="L44" i="2" s="1"/>
  <c r="L7" i="4" s="1"/>
  <c r="K7" i="4"/>
  <c r="K13" i="4" s="1"/>
  <c r="K17" i="4" s="1"/>
  <c r="K44" i="4" s="1"/>
  <c r="P43" i="2"/>
  <c r="P44" i="2" s="1"/>
  <c r="O7" i="4"/>
  <c r="O13" i="4" s="1"/>
  <c r="O17" i="4" s="1"/>
  <c r="O44" i="4" s="1"/>
  <c r="AB43" i="2"/>
  <c r="AB44" i="2" s="1"/>
  <c r="X43" i="2"/>
  <c r="X44" i="2" s="1"/>
  <c r="T43" i="2"/>
  <c r="T44" i="2" s="1"/>
  <c r="S7" i="4"/>
  <c r="S13" i="4" s="1"/>
  <c r="S17" i="4" s="1"/>
  <c r="S44" i="4" s="1"/>
  <c r="Y43" i="2" l="1"/>
  <c r="Y44" i="2" s="1"/>
  <c r="X7" i="4"/>
  <c r="X13" i="4" s="1"/>
  <c r="X17" i="4" s="1"/>
  <c r="X44" i="4" s="1"/>
  <c r="P7" i="4"/>
  <c r="P13" i="4" s="1"/>
  <c r="P17" i="4" s="1"/>
  <c r="P44" i="4" s="1"/>
  <c r="Q43" i="2"/>
  <c r="Q44" i="2" s="1"/>
  <c r="Q7" i="4" s="1"/>
  <c r="U43" i="2"/>
  <c r="U44" i="2" s="1"/>
  <c r="T7" i="4"/>
  <c r="T13" i="4" s="1"/>
  <c r="T17" i="4" s="1"/>
  <c r="T44" i="4" s="1"/>
  <c r="AG43" i="2"/>
  <c r="AG44" i="2" s="1"/>
  <c r="AC43" i="2"/>
  <c r="AC44" i="2" s="1"/>
  <c r="L13" i="4"/>
  <c r="M7" i="4"/>
  <c r="AC7" i="4" l="1"/>
  <c r="AC13" i="4" s="1"/>
  <c r="AC17" i="4" s="1"/>
  <c r="AC44" i="4" s="1"/>
  <c r="AD43" i="2"/>
  <c r="AD44" i="2" s="1"/>
  <c r="Q13" i="4"/>
  <c r="R7" i="4"/>
  <c r="M13" i="4"/>
  <c r="L17" i="4"/>
  <c r="V43" i="2"/>
  <c r="V44" i="2" s="1"/>
  <c r="V7" i="4" s="1"/>
  <c r="U7" i="4"/>
  <c r="U13" i="4" s="1"/>
  <c r="U17" i="4" s="1"/>
  <c r="U44" i="4" s="1"/>
  <c r="AH43" i="2"/>
  <c r="AH44" i="2" s="1"/>
  <c r="AL43" i="2"/>
  <c r="AL44" i="2" s="1"/>
  <c r="Z43" i="2"/>
  <c r="Z44" i="2" s="1"/>
  <c r="Y7" i="4"/>
  <c r="Y13" i="4" s="1"/>
  <c r="Y17" i="4" s="1"/>
  <c r="Y44" i="4" s="1"/>
  <c r="W7" i="4" l="1"/>
  <c r="V13" i="4"/>
  <c r="R13" i="4"/>
  <c r="Q17" i="4"/>
  <c r="AA43" i="2"/>
  <c r="AA44" i="2" s="1"/>
  <c r="AA7" i="4" s="1"/>
  <c r="Z7" i="4"/>
  <c r="Z13" i="4" s="1"/>
  <c r="Z17" i="4" s="1"/>
  <c r="Z44" i="4" s="1"/>
  <c r="AD7" i="4"/>
  <c r="AD13" i="4" s="1"/>
  <c r="AD17" i="4" s="1"/>
  <c r="AD44" i="4" s="1"/>
  <c r="AE43" i="2"/>
  <c r="AE44" i="2" s="1"/>
  <c r="AH7" i="4"/>
  <c r="AH13" i="4" s="1"/>
  <c r="AH17" i="4" s="1"/>
  <c r="AH44" i="4" s="1"/>
  <c r="AI43" i="2"/>
  <c r="AI44" i="2" s="1"/>
  <c r="M17" i="4"/>
  <c r="M44" i="4" s="1"/>
  <c r="L44" i="4"/>
  <c r="AF43" i="2" l="1"/>
  <c r="AF44" i="2" s="1"/>
  <c r="AF7" i="4" s="1"/>
  <c r="AE7" i="4"/>
  <c r="AE13" i="4" s="1"/>
  <c r="AE17" i="4" s="1"/>
  <c r="AE44" i="4" s="1"/>
  <c r="AB7" i="4"/>
  <c r="AB13" i="4" s="1"/>
  <c r="AA13" i="4"/>
  <c r="AA17" i="4" s="1"/>
  <c r="V17" i="4"/>
  <c r="W13" i="4"/>
  <c r="R17" i="4"/>
  <c r="R44" i="4" s="1"/>
  <c r="Q44" i="4"/>
  <c r="AI7" i="4"/>
  <c r="AI13" i="4" s="1"/>
  <c r="AI17" i="4" s="1"/>
  <c r="AI44" i="4" s="1"/>
  <c r="AJ43" i="2"/>
  <c r="AJ44" i="2" s="1"/>
  <c r="AJ7" i="4" l="1"/>
  <c r="AJ13" i="4" s="1"/>
  <c r="AJ17" i="4" s="1"/>
  <c r="AJ44" i="4" s="1"/>
  <c r="AK43" i="2"/>
  <c r="AK44" i="2" s="1"/>
  <c r="AK7" i="4" s="1"/>
  <c r="AB17" i="4"/>
  <c r="AB44" i="4" s="1"/>
  <c r="AA44" i="4"/>
  <c r="W17" i="4"/>
  <c r="W44" i="4" s="1"/>
  <c r="V44" i="4"/>
  <c r="AF13" i="4"/>
  <c r="AF17" i="4" s="1"/>
  <c r="AG7" i="4"/>
  <c r="AG13" i="4" s="1"/>
  <c r="AF44" i="4" l="1"/>
  <c r="AG17" i="4"/>
  <c r="AG44" i="4" s="1"/>
  <c r="AK13" i="4"/>
  <c r="AK17" i="4" s="1"/>
  <c r="AL7" i="4"/>
  <c r="AL17" i="4" l="1"/>
  <c r="AL44" i="4" s="1"/>
  <c r="AK44" i="4"/>
  <c r="AL13" i="4"/>
  <c r="E22" i="5"/>
  <c r="E25" i="5" s="1"/>
  <c r="E2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Jeff.G</author>
  </authors>
  <commentList>
    <comment ref="AD5" authorId="0" shapeId="0" xr:uid="{C1711BF5-ECF9-4C55-9FBC-46AE7FC22A04}">
      <text>
        <r>
          <rPr>
            <b/>
            <sz val="9"/>
            <color indexed="81"/>
            <rFont val="Tahoma"/>
            <family val="2"/>
          </rPr>
          <t>Jeff.G:</t>
        </r>
        <r>
          <rPr>
            <sz val="9"/>
            <color indexed="81"/>
            <rFont val="Tahoma"/>
            <family val="2"/>
          </rPr>
          <t xml:space="preserve">
vs Actual $411.4</t>
        </r>
      </text>
    </comment>
    <comment ref="AD7" authorId="0" shapeId="0" xr:uid="{B325CFF2-ED14-4CF1-9685-FDB96B142089}">
      <text>
        <r>
          <rPr>
            <b/>
            <sz val="9"/>
            <color indexed="81"/>
            <rFont val="Tahoma"/>
            <family val="2"/>
          </rPr>
          <t>Jeff.G:</t>
        </r>
        <r>
          <rPr>
            <sz val="9"/>
            <color indexed="81"/>
            <rFont val="Tahoma"/>
            <family val="2"/>
          </rPr>
          <t xml:space="preserve">
vs. actual $2.0</t>
        </r>
      </text>
    </comment>
    <comment ref="AG9" authorId="0" shapeId="0" xr:uid="{D079C9A8-CB1A-4DF6-97A2-86681CAA044E}">
      <text>
        <r>
          <rPr>
            <b/>
            <sz val="9"/>
            <color indexed="81"/>
            <rFont val="Tahoma"/>
            <family val="2"/>
          </rPr>
          <t>Jeff.G:</t>
        </r>
        <r>
          <rPr>
            <sz val="9"/>
            <color indexed="81"/>
            <rFont val="Tahoma"/>
            <family val="2"/>
          </rPr>
          <t xml:space="preserve">
vs. FY24 revenue guidance of $1.42-$1.45B (midpoint of $1.43B)
 Raise new guidance to: </t>
        </r>
        <r>
          <rPr>
            <b/>
            <sz val="9"/>
            <color indexed="81"/>
            <rFont val="Tahoma"/>
            <family val="2"/>
          </rPr>
          <t xml:space="preserve">$1.49-1.52 B
</t>
        </r>
      </text>
    </comment>
    <comment ref="AD10" authorId="0" shapeId="0" xr:uid="{41EBC392-8EDF-43EE-ADEE-85296E131DE6}">
      <text>
        <r>
          <rPr>
            <b/>
            <sz val="9"/>
            <color indexed="81"/>
            <rFont val="Tahoma"/>
            <family val="2"/>
          </rPr>
          <t>Jeff.G:</t>
        </r>
        <r>
          <rPr>
            <sz val="9"/>
            <color indexed="81"/>
            <rFont val="Tahoma"/>
            <family val="2"/>
          </rPr>
          <t xml:space="preserve">
Actual Q2 revenue, Record volume growth and ASP growth</t>
        </r>
      </text>
    </comment>
    <comment ref="B17" authorId="0" shapeId="0" xr:uid="{C8109F83-F907-45EE-A0DB-00DDD9D1C217}">
      <text>
        <r>
          <rPr>
            <b/>
            <sz val="9"/>
            <color indexed="81"/>
            <rFont val="Tahoma"/>
            <family val="2"/>
          </rPr>
          <t>Jeff.G:</t>
        </r>
        <r>
          <rPr>
            <sz val="9"/>
            <color indexed="81"/>
            <rFont val="Tahoma"/>
            <family val="2"/>
          </rPr>
          <t xml:space="preserve">
Total Test Volume </t>
        </r>
      </text>
    </comment>
    <comment ref="D19" authorId="0" shapeId="0" xr:uid="{0B7012DC-E2B2-4DDE-B363-DD8FF92A9B0D}">
      <text>
        <r>
          <rPr>
            <b/>
            <sz val="9"/>
            <color indexed="81"/>
            <rFont val="Tahoma"/>
            <family val="2"/>
          </rPr>
          <t>Jeff.G:</t>
        </r>
        <r>
          <rPr>
            <sz val="9"/>
            <color indexed="81"/>
            <rFont val="Tahoma"/>
            <family val="2"/>
          </rPr>
          <t xml:space="preserve">
per 10Q 1Q2019</t>
        </r>
      </text>
    </comment>
    <comment ref="E19" authorId="0" shapeId="0" xr:uid="{4168021A-ED69-4E00-AC00-30F87BCA1D5F}">
      <text>
        <r>
          <rPr>
            <b/>
            <sz val="9"/>
            <color indexed="81"/>
            <rFont val="Tahoma"/>
            <family val="2"/>
          </rPr>
          <t>Jeff.G:</t>
        </r>
        <r>
          <rPr>
            <sz val="9"/>
            <color indexed="81"/>
            <rFont val="Tahoma"/>
            <family val="2"/>
          </rPr>
          <t xml:space="preserve">
Per 10Q 2Q2019 - total reported units were approximately 187,600, comprising of approximately </t>
        </r>
        <r>
          <rPr>
            <b/>
            <sz val="9"/>
            <color indexed="81"/>
            <rFont val="Tahoma"/>
            <family val="2"/>
          </rPr>
          <t>174,800</t>
        </r>
        <r>
          <rPr>
            <sz val="9"/>
            <color indexed="81"/>
            <rFont val="Tahoma"/>
            <family val="2"/>
          </rPr>
          <t xml:space="preserve"> reported units that were accessioned and 11,500 Constellation units</t>
        </r>
      </text>
    </comment>
    <comment ref="K19" authorId="0" shapeId="0" xr:uid="{605C601C-130D-4130-B333-1C21D1AFBF1E}">
      <text>
        <r>
          <rPr>
            <b/>
            <sz val="9"/>
            <color indexed="81"/>
            <rFont val="Tahoma"/>
            <family val="2"/>
          </rPr>
          <t>Jeff.G:</t>
        </r>
        <r>
          <rPr>
            <sz val="9"/>
            <color indexed="81"/>
            <rFont val="Tahoma"/>
            <family val="2"/>
          </rPr>
          <t xml:space="preserve">
per 10Q 3Q2020, comprised of approximately </t>
        </r>
        <r>
          <rPr>
            <b/>
            <sz val="9"/>
            <color indexed="81"/>
            <rFont val="Tahoma"/>
            <family val="2"/>
          </rPr>
          <t>226,700</t>
        </r>
        <r>
          <rPr>
            <sz val="9"/>
            <color indexed="81"/>
            <rFont val="Tahoma"/>
            <family val="2"/>
          </rPr>
          <t xml:space="preserve"> tests reported in our laboratory. </t>
        </r>
      </text>
    </comment>
    <comment ref="S19" authorId="0" shapeId="0" xr:uid="{90559D09-6DBA-4316-95AD-28FBAB405617}">
      <text>
        <r>
          <rPr>
            <b/>
            <sz val="9"/>
            <color indexed="81"/>
            <rFont val="Tahoma"/>
            <family val="2"/>
          </rPr>
          <t>Jeff.G:</t>
        </r>
        <r>
          <rPr>
            <sz val="9"/>
            <color indexed="81"/>
            <rFont val="Tahoma"/>
            <family val="2"/>
          </rPr>
          <t xml:space="preserve">
per 10Q 1Q 2022</t>
        </r>
      </text>
    </comment>
    <comment ref="X19" authorId="0" shapeId="0" xr:uid="{5BE3B75B-3AB8-4206-BDA4-62B981CE6533}">
      <text>
        <r>
          <rPr>
            <b/>
            <sz val="9"/>
            <color indexed="81"/>
            <rFont val="Tahoma"/>
            <family val="2"/>
          </rPr>
          <t>Jeff.G:</t>
        </r>
        <r>
          <rPr>
            <sz val="9"/>
            <color indexed="81"/>
            <rFont val="Tahoma"/>
            <family val="2"/>
          </rPr>
          <t xml:space="preserve">
Per 10Q 1Q2023</t>
        </r>
      </text>
    </comment>
    <comment ref="AD19" authorId="0" shapeId="0" xr:uid="{2B4005E3-496E-455B-9B34-479CC8EC69E3}">
      <text>
        <r>
          <rPr>
            <b/>
            <sz val="9"/>
            <color indexed="81"/>
            <rFont val="Tahoma"/>
            <family val="2"/>
          </rPr>
          <t>Jeff.G:</t>
        </r>
        <r>
          <rPr>
            <sz val="9"/>
            <color indexed="81"/>
            <rFont val="Tahoma"/>
            <family val="2"/>
          </rPr>
          <t xml:space="preserve">
vs. actual 709.800</t>
        </r>
      </text>
    </comment>
    <comment ref="Y20" authorId="0" shapeId="0" xr:uid="{8B23B76B-383D-4E39-AD12-B79EDD95914C}">
      <text>
        <r>
          <rPr>
            <b/>
            <sz val="9"/>
            <color indexed="81"/>
            <rFont val="Tahoma"/>
            <family val="2"/>
          </rPr>
          <t>Jeff.G:</t>
        </r>
        <r>
          <rPr>
            <sz val="9"/>
            <color indexed="81"/>
            <rFont val="Tahoma"/>
            <family val="2"/>
          </rPr>
          <t xml:space="preserve">
Core volume drivers: Serving large, underpenetrated markets </t>
        </r>
      </text>
    </comment>
    <comment ref="AL20" authorId="0" shapeId="0" xr:uid="{908A2CBD-DDA4-4DA5-8F93-8DE303EBABDD}">
      <text>
        <r>
          <rPr>
            <b/>
            <sz val="9"/>
            <color indexed="81"/>
            <rFont val="Tahoma"/>
            <family val="2"/>
          </rPr>
          <t>Jeff.G:</t>
        </r>
        <r>
          <rPr>
            <sz val="9"/>
            <color indexed="81"/>
            <rFont val="Tahoma"/>
            <family val="2"/>
          </rPr>
          <t xml:space="preserve">
highly underpenetrated MRD market + continued market share gains from women reproductive market</t>
        </r>
      </text>
    </comment>
    <comment ref="AC23" authorId="0" shapeId="0" xr:uid="{2A3C2F83-B250-48B3-9D64-66B57E0447D2}">
      <text>
        <r>
          <rPr>
            <b/>
            <sz val="9"/>
            <color indexed="81"/>
            <rFont val="Tahoma"/>
            <family val="2"/>
          </rPr>
          <t>Jeff.G:</t>
        </r>
        <r>
          <rPr>
            <sz val="9"/>
            <color indexed="81"/>
            <rFont val="Tahoma"/>
            <family val="2"/>
          </rPr>
          <t xml:space="preserve">
rapid ASP growth driven by Signatera volume ramp up</t>
        </r>
      </text>
    </comment>
    <comment ref="AL23" authorId="0" shapeId="0" xr:uid="{1AF20195-0B8B-4E10-9B56-D922060F685E}">
      <text>
        <r>
          <rPr>
            <b/>
            <sz val="9"/>
            <color indexed="81"/>
            <rFont val="Tahoma"/>
            <family val="2"/>
          </rPr>
          <t>Jeff.G:</t>
        </r>
        <r>
          <rPr>
            <sz val="9"/>
            <color indexed="81"/>
            <rFont val="Tahoma"/>
            <family val="2"/>
          </rPr>
          <t xml:space="preserve">
Signatera ASP continued to increase plus ACOG guidelines could increase Panorama ASP</t>
        </r>
      </text>
    </comment>
    <comment ref="AC30" authorId="0" shapeId="0" xr:uid="{E20096AD-505E-4738-879A-F35A9CDAB3C3}">
      <text>
        <r>
          <rPr>
            <b/>
            <sz val="9"/>
            <color indexed="81"/>
            <rFont val="Tahoma"/>
            <family val="2"/>
          </rPr>
          <t>Jeff.G:</t>
        </r>
        <r>
          <rPr>
            <sz val="9"/>
            <color indexed="81"/>
            <rFont val="Tahoma"/>
            <family val="2"/>
          </rPr>
          <t xml:space="preserve">
Improving growth margin, cash collection exceeding expectations, driving true-ups</t>
        </r>
      </text>
    </comment>
    <comment ref="AG30" authorId="0" shapeId="0" xr:uid="{01BA49C9-5642-4D6D-A163-D5288BC7F938}">
      <text>
        <r>
          <rPr>
            <b/>
            <sz val="9"/>
            <color indexed="81"/>
            <rFont val="Tahoma"/>
            <family val="2"/>
          </rPr>
          <t>Jeff.G:</t>
        </r>
        <r>
          <rPr>
            <sz val="9"/>
            <color indexed="81"/>
            <rFont val="Tahoma"/>
            <family val="2"/>
          </rPr>
          <t xml:space="preserve">
Incremental mix of Signatera MRD volume lifiting up total products profit margin and driving down the blended cost per price + continued improving margin, Cash collection exceeding expectations,
driving true-ups </t>
        </r>
      </text>
    </comment>
    <comment ref="AD36" authorId="0" shapeId="0" xr:uid="{CD9E02BD-7D68-48A3-9FE3-CF8B827814D9}">
      <text>
        <r>
          <rPr>
            <b/>
            <sz val="9"/>
            <color indexed="81"/>
            <rFont val="Tahoma"/>
            <family val="2"/>
          </rPr>
          <t>Jeff.G:</t>
        </r>
        <r>
          <rPr>
            <sz val="9"/>
            <color indexed="81"/>
            <rFont val="Tahoma"/>
            <family val="2"/>
          </rPr>
          <t xml:space="preserve">
Inline with Q1 Growth yoy</t>
        </r>
      </text>
    </comment>
    <comment ref="AH36" authorId="0" shapeId="0" xr:uid="{1B8D0655-452F-470F-8C3C-7CA61862C9E0}">
      <text>
        <r>
          <rPr>
            <b/>
            <sz val="9"/>
            <color indexed="81"/>
            <rFont val="Tahoma"/>
            <family val="2"/>
          </rPr>
          <t>Jeff.G:</t>
        </r>
        <r>
          <rPr>
            <sz val="9"/>
            <color indexed="81"/>
            <rFont val="Tahoma"/>
            <family val="2"/>
          </rPr>
          <t xml:space="preserve">
Assume 5.0% modest growth</t>
        </r>
      </text>
    </comment>
    <comment ref="B41" authorId="0" shapeId="0" xr:uid="{BB513825-0400-42B1-8EA2-E0D0EC93AC2F}">
      <text>
        <r>
          <rPr>
            <b/>
            <sz val="9"/>
            <color indexed="81"/>
            <rFont val="Tahoma"/>
            <family val="2"/>
          </rPr>
          <t>Jeff.G:</t>
        </r>
        <r>
          <rPr>
            <sz val="9"/>
            <color indexed="81"/>
            <rFont val="Tahoma"/>
            <family val="2"/>
          </rPr>
          <t xml:space="preserve">
By specific products volume</t>
        </r>
      </text>
    </comment>
    <comment ref="D44" authorId="0" shapeId="0" xr:uid="{C9B4EC70-FF50-44E7-BB67-4884E20CB450}">
      <text>
        <r>
          <rPr>
            <b/>
            <sz val="9"/>
            <color indexed="81"/>
            <rFont val="Tahoma"/>
            <family val="2"/>
          </rPr>
          <t>Jeff.G:</t>
        </r>
        <r>
          <rPr>
            <sz val="9"/>
            <color indexed="81"/>
            <rFont val="Tahoma"/>
            <family val="2"/>
          </rPr>
          <t xml:space="preserve">
per 1Q19 10k accessioned approximately 126,500 Panorama tests</t>
        </r>
      </text>
    </comment>
    <comment ref="E44" authorId="0" shapeId="0" xr:uid="{88DC31B5-823F-41D8-B5C2-2DC4A0FC198E}">
      <text>
        <r>
          <rPr>
            <b/>
            <sz val="9"/>
            <color indexed="81"/>
            <rFont val="Tahoma"/>
            <family val="2"/>
          </rPr>
          <t>Jeff.G:</t>
        </r>
        <r>
          <rPr>
            <sz val="9"/>
            <color indexed="81"/>
            <rFont val="Tahoma"/>
            <family val="2"/>
          </rPr>
          <t xml:space="preserve">
per 10Q 2Q2019</t>
        </r>
      </text>
    </comment>
    <comment ref="F44" authorId="0" shapeId="0" xr:uid="{43D58949-7111-4FFB-A0DD-B464B5A6072A}">
      <text>
        <r>
          <rPr>
            <b/>
            <sz val="9"/>
            <color indexed="81"/>
            <rFont val="Tahoma"/>
            <family val="2"/>
          </rPr>
          <t>Jeff.G:</t>
        </r>
        <r>
          <rPr>
            <sz val="9"/>
            <color indexed="81"/>
            <rFont val="Tahoma"/>
            <family val="2"/>
          </rPr>
          <t xml:space="preserve">
per 10Q 3Q2019</t>
        </r>
      </text>
    </comment>
    <comment ref="G44" authorId="0" shapeId="0" xr:uid="{A945F503-2377-488B-BBAB-B8FEAC800FFE}">
      <text>
        <r>
          <rPr>
            <b/>
            <sz val="9"/>
            <color indexed="81"/>
            <rFont val="Tahoma"/>
            <family val="2"/>
          </rPr>
          <t>Jeff.G:</t>
        </r>
        <r>
          <rPr>
            <sz val="9"/>
            <color indexed="81"/>
            <rFont val="Tahoma"/>
            <family val="2"/>
          </rPr>
          <t xml:space="preserve">
Q4 pretty steady, take average of last 3 Qs (Management no longer provided information on this volume)</t>
        </r>
      </text>
    </comment>
    <comment ref="H44" authorId="0" shapeId="0" xr:uid="{3CF056A3-67AA-4E45-9D0F-4CAD49FDCAE0}">
      <text>
        <r>
          <rPr>
            <b/>
            <sz val="9"/>
            <color indexed="81"/>
            <rFont val="Tahoma"/>
            <family val="2"/>
          </rPr>
          <t>Jeff.G:</t>
        </r>
        <r>
          <rPr>
            <sz val="9"/>
            <color indexed="81"/>
            <rFont val="Tahoma"/>
            <family val="2"/>
          </rPr>
          <t xml:space="preserve">
First 3 quarters sourced form 10Qs and Q4 data take average from the previous 3Qs. Management will no longer provided color on specific volume and revenues going forward</t>
        </r>
      </text>
    </comment>
    <comment ref="D45" authorId="0" shapeId="0" xr:uid="{7075028F-1F87-471C-A7BC-B1FD93EE6CEA}">
      <text>
        <r>
          <rPr>
            <b/>
            <sz val="9"/>
            <color indexed="81"/>
            <rFont val="Tahoma"/>
            <family val="2"/>
          </rPr>
          <t>Jeff.G:</t>
        </r>
        <r>
          <rPr>
            <sz val="9"/>
            <color indexed="81"/>
            <rFont val="Tahoma"/>
            <family val="2"/>
          </rPr>
          <t xml:space="preserve">
per 10Q 19</t>
        </r>
      </text>
    </comment>
    <comment ref="M45" authorId="0" shapeId="0" xr:uid="{18DAFA3D-D860-4855-B0CA-AA098EE62E8E}">
      <text>
        <r>
          <rPr>
            <b/>
            <sz val="9"/>
            <color indexed="81"/>
            <rFont val="Tahoma"/>
            <family val="2"/>
          </rPr>
          <t>Jeff.G:</t>
        </r>
        <r>
          <rPr>
            <sz val="9"/>
            <color indexed="81"/>
            <rFont val="Tahoma"/>
            <family val="2"/>
          </rPr>
          <t xml:space="preserve">
Q4 2020, Volume growth mainly driven by strong Strong market share gains in Women’s Health
Also, In late 2020, American college of Obstetrics and Gynecology (ACOG) modified guidelines to recommended NIPT to all pregnant women(low+high risk pregnancies), which is a another catalyst to drive up the volumes in the near term and midterm</t>
        </r>
      </text>
    </comment>
    <comment ref="R45" authorId="0" shapeId="0" xr:uid="{26DAD5D3-59A6-435B-A34F-795EF64E5498}">
      <text>
        <r>
          <rPr>
            <b/>
            <sz val="9"/>
            <color indexed="81"/>
            <rFont val="Tahoma"/>
            <family val="2"/>
          </rPr>
          <t>Jeff.G:</t>
        </r>
        <r>
          <rPr>
            <sz val="9"/>
            <color indexed="81"/>
            <rFont val="Tahoma"/>
            <family val="2"/>
          </rPr>
          <t xml:space="preserve">
Continued strong volume momentum and some volume gains refelcted from recent released ACOG Guidelines in 2020</t>
        </r>
      </text>
    </comment>
    <comment ref="AB45" authorId="0" shapeId="0" xr:uid="{1C4CA6D2-C6CB-4E90-8747-48541F0FAEEE}">
      <text>
        <r>
          <rPr>
            <b/>
            <sz val="9"/>
            <color indexed="81"/>
            <rFont val="Tahoma"/>
            <family val="2"/>
          </rPr>
          <t>Jeff.G:</t>
        </r>
        <r>
          <rPr>
            <sz val="9"/>
            <color indexed="81"/>
            <rFont val="Tahoma"/>
            <family val="2"/>
          </rPr>
          <t xml:space="preserve">
continued volume growth, strong oncology contribution by Signatera</t>
        </r>
      </text>
    </comment>
    <comment ref="AC45" authorId="0" shapeId="0" xr:uid="{B4079A42-353D-4846-8B3F-2484D75B8383}">
      <text>
        <r>
          <rPr>
            <b/>
            <sz val="9"/>
            <color indexed="81"/>
            <rFont val="Tahoma"/>
            <family val="2"/>
          </rPr>
          <t>Jeff.G:</t>
        </r>
        <r>
          <rPr>
            <sz val="9"/>
            <color indexed="81"/>
            <rFont val="Tahoma"/>
            <family val="2"/>
          </rPr>
          <t xml:space="preserve">
Strong sequential volume growth in Q1 2024</t>
        </r>
      </text>
    </comment>
    <comment ref="D47" authorId="0" shapeId="0" xr:uid="{A6D917B6-99B8-4F5E-B0F9-516393B7DB99}">
      <text>
        <r>
          <rPr>
            <b/>
            <sz val="9"/>
            <color indexed="81"/>
            <rFont val="Tahoma"/>
            <family val="2"/>
          </rPr>
          <t>Jeff.G:</t>
        </r>
        <r>
          <rPr>
            <sz val="9"/>
            <color indexed="81"/>
            <rFont val="Tahoma"/>
            <family val="2"/>
          </rPr>
          <t xml:space="preserve">
per 1Q19 10Q, Panorama revenues accounted for $37.2 million, or 56% of our revenues for the three months</t>
        </r>
      </text>
    </comment>
    <comment ref="G47" authorId="0" shapeId="0" xr:uid="{AC282CA7-C302-4299-BCD5-41300E8034C8}">
      <text>
        <r>
          <rPr>
            <b/>
            <sz val="9"/>
            <color indexed="81"/>
            <rFont val="Tahoma"/>
            <family val="2"/>
          </rPr>
          <t>Jeff.G:</t>
        </r>
        <r>
          <rPr>
            <sz val="9"/>
            <color indexed="81"/>
            <rFont val="Tahoma"/>
            <family val="2"/>
          </rPr>
          <t xml:space="preserve">
No longer provided colors on specific items revenue and volumes</t>
        </r>
      </text>
    </comment>
    <comment ref="D48" authorId="0" shapeId="0" xr:uid="{3AD0495A-4345-405A-85C5-780D85E7B69B}">
      <text>
        <r>
          <rPr>
            <b/>
            <sz val="9"/>
            <color indexed="81"/>
            <rFont val="Tahoma"/>
            <family val="2"/>
          </rPr>
          <t>Jeff.G:</t>
        </r>
        <r>
          <rPr>
            <sz val="9"/>
            <color indexed="81"/>
            <rFont val="Tahoma"/>
            <family val="2"/>
          </rPr>
          <t xml:space="preserve">
prior period NIPT revenue is 33.3</t>
        </r>
      </text>
    </comment>
    <comment ref="M48" authorId="0" shapeId="0" xr:uid="{60CA9995-850A-4065-B9E4-B24A07FDD2A6}">
      <text>
        <r>
          <rPr>
            <b/>
            <sz val="9"/>
            <color indexed="81"/>
            <rFont val="Tahoma"/>
            <family val="2"/>
          </rPr>
          <t>Jeff.G:</t>
        </r>
        <r>
          <rPr>
            <sz val="9"/>
            <color indexed="81"/>
            <rFont val="Tahoma"/>
            <family val="2"/>
          </rPr>
          <t xml:space="preserve">
Per managmenet Q4 2020, Product revenue up ~40% vs Q4 2019 and Panorma has the biggest shares in the product line so 30.0% revenue YoY growth viewed as resonable. NIPT is largest prospective trial ever conducted, best in class performance</t>
        </r>
      </text>
    </comment>
    <comment ref="R48" authorId="0" shapeId="0" xr:uid="{33343483-F996-47F1-A939-98D7E8026B25}">
      <text>
        <r>
          <rPr>
            <b/>
            <sz val="9"/>
            <color indexed="81"/>
            <rFont val="Tahoma"/>
            <family val="2"/>
          </rPr>
          <t>Jeff.G:</t>
        </r>
        <r>
          <rPr>
            <sz val="9"/>
            <color indexed="81"/>
            <rFont val="Tahoma"/>
            <family val="2"/>
          </rPr>
          <t xml:space="preserve">
continued strong growth </t>
        </r>
      </text>
    </comment>
    <comment ref="E51" authorId="0" shapeId="0" xr:uid="{5FA32B96-DD11-4C13-8938-E2D90CA6C00F}">
      <text>
        <r>
          <rPr>
            <b/>
            <sz val="9"/>
            <color indexed="81"/>
            <rFont val="Tahoma"/>
            <family val="2"/>
          </rPr>
          <t>Jeff.G:</t>
        </r>
        <r>
          <rPr>
            <sz val="9"/>
            <color indexed="81"/>
            <rFont val="Tahoma"/>
            <family val="2"/>
          </rPr>
          <t xml:space="preserve">
107,400 HCS tests during the six months ended June 30, 2019</t>
        </r>
      </text>
    </comment>
    <comment ref="M52" authorId="0" shapeId="0" xr:uid="{5180F5A7-9B18-4D63-B407-58E41132F86F}">
      <text>
        <r>
          <rPr>
            <b/>
            <sz val="9"/>
            <color indexed="81"/>
            <rFont val="Tahoma"/>
            <family val="2"/>
          </rPr>
          <t>Jeff.G:</t>
        </r>
        <r>
          <rPr>
            <sz val="9"/>
            <color indexed="81"/>
            <rFont val="Tahoma"/>
            <family val="2"/>
          </rPr>
          <t xml:space="preserve">
Volume growth mainly driven by strong Strong market share gains in Women’s Health</t>
        </r>
      </text>
    </comment>
    <comment ref="R52" authorId="0" shapeId="0" xr:uid="{B5ED6679-6B30-42D1-8417-A71B2B967A99}">
      <text>
        <r>
          <rPr>
            <b/>
            <sz val="9"/>
            <color indexed="81"/>
            <rFont val="Tahoma"/>
            <family val="2"/>
          </rPr>
          <t>Jeff.G:</t>
        </r>
        <r>
          <rPr>
            <sz val="9"/>
            <color indexed="81"/>
            <rFont val="Tahoma"/>
            <family val="2"/>
          </rPr>
          <t xml:space="preserve">
Volume growth mainly driven by strong strong market share gains in Women’s Health</t>
        </r>
      </text>
    </comment>
    <comment ref="G54" authorId="0" shapeId="0" xr:uid="{3D6E682D-4613-415A-A722-7C9E0D67DC6E}">
      <text>
        <r>
          <rPr>
            <b/>
            <sz val="9"/>
            <color indexed="81"/>
            <rFont val="Tahoma"/>
            <family val="2"/>
          </rPr>
          <t>Jeff.G:</t>
        </r>
        <r>
          <rPr>
            <sz val="9"/>
            <color indexed="81"/>
            <rFont val="Tahoma"/>
            <family val="2"/>
          </rPr>
          <t xml:space="preserve">
No longer provided colors on specific items revenue and volumes</t>
        </r>
      </text>
    </comment>
    <comment ref="D55" authorId="0" shapeId="0" xr:uid="{B021BA72-0464-48CD-9AAC-D35BFE45BAE8}">
      <text>
        <r>
          <rPr>
            <b/>
            <sz val="9"/>
            <color indexed="81"/>
            <rFont val="Tahoma"/>
            <family val="2"/>
          </rPr>
          <t>Jeff.G:</t>
        </r>
        <r>
          <rPr>
            <sz val="9"/>
            <color indexed="81"/>
            <rFont val="Tahoma"/>
            <family val="2"/>
          </rPr>
          <t xml:space="preserve">
183k is prior period of HCS revenue</t>
        </r>
      </text>
    </comment>
    <comment ref="AD57" authorId="0" shapeId="0" xr:uid="{77143022-1477-4C8E-9615-8B1CD9830A9D}">
      <text>
        <r>
          <rPr>
            <b/>
            <sz val="9"/>
            <color indexed="81"/>
            <rFont val="Tahoma"/>
            <family val="2"/>
          </rPr>
          <t>Jeff.G:</t>
        </r>
        <r>
          <rPr>
            <sz val="9"/>
            <color indexed="81"/>
            <rFont val="Tahoma"/>
            <family val="2"/>
          </rPr>
          <t xml:space="preserve">
Q2 actual numbers, per Earnings Presentation, Signatera clincial tests processed</t>
        </r>
      </text>
    </comment>
    <comment ref="M58" authorId="0" shapeId="0" xr:uid="{676CDBE3-E78A-430D-8419-E147A93B39CB}">
      <text>
        <r>
          <rPr>
            <b/>
            <sz val="9"/>
            <color indexed="81"/>
            <rFont val="Tahoma"/>
            <family val="2"/>
          </rPr>
          <t>Jeff.G:</t>
        </r>
        <r>
          <rPr>
            <sz val="9"/>
            <color indexed="81"/>
            <rFont val="Tahoma"/>
            <family val="2"/>
          </rPr>
          <t xml:space="preserve">
Reported total oncology volume</t>
        </r>
      </text>
    </comment>
    <comment ref="S58" authorId="0" shapeId="0" xr:uid="{ED87410F-DF0B-4998-AD91-EE1119C68F32}">
      <text>
        <r>
          <rPr>
            <b/>
            <sz val="9"/>
            <color indexed="81"/>
            <rFont val="Tahoma"/>
            <family val="2"/>
          </rPr>
          <t>Jeff.G:</t>
        </r>
        <r>
          <rPr>
            <sz val="9"/>
            <color indexed="81"/>
            <rFont val="Tahoma"/>
            <family val="2"/>
          </rPr>
          <t xml:space="preserve">
earnings presentation 2023 
</t>
        </r>
      </text>
    </comment>
    <comment ref="T58" authorId="0" shapeId="0" xr:uid="{B839A54A-75EE-4640-A53E-A1D3C976B8C7}">
      <text>
        <r>
          <rPr>
            <b/>
            <sz val="9"/>
            <color indexed="81"/>
            <rFont val="Tahoma"/>
            <family val="2"/>
          </rPr>
          <t>Jeff.G:</t>
        </r>
        <r>
          <rPr>
            <sz val="9"/>
            <color indexed="81"/>
            <rFont val="Tahoma"/>
            <family val="2"/>
          </rPr>
          <t xml:space="preserve">
earnings presentation 2023 
</t>
        </r>
      </text>
    </comment>
    <comment ref="U58" authorId="0" shapeId="0" xr:uid="{2CCA1E68-C547-46A2-B56E-E6BBF35EC08F}">
      <text>
        <r>
          <rPr>
            <b/>
            <sz val="9"/>
            <color indexed="81"/>
            <rFont val="Tahoma"/>
            <family val="2"/>
          </rPr>
          <t>Jeff.G:</t>
        </r>
        <r>
          <rPr>
            <sz val="9"/>
            <color indexed="81"/>
            <rFont val="Tahoma"/>
            <family val="2"/>
          </rPr>
          <t xml:space="preserve">
earnings presentation 2023 
</t>
        </r>
      </text>
    </comment>
    <comment ref="V58" authorId="0" shapeId="0" xr:uid="{320D3D22-D735-4819-81A5-68A691F037C4}">
      <text>
        <r>
          <rPr>
            <b/>
            <sz val="9"/>
            <color indexed="81"/>
            <rFont val="Tahoma"/>
            <family val="2"/>
          </rPr>
          <t>Jeff.G:</t>
        </r>
        <r>
          <rPr>
            <sz val="9"/>
            <color indexed="81"/>
            <rFont val="Tahoma"/>
            <family val="2"/>
          </rPr>
          <t xml:space="preserve">
earnings presentation 2023 
</t>
        </r>
      </text>
    </comment>
    <comment ref="X58" authorId="0" shapeId="0" xr:uid="{39267039-1CF5-4354-B9AE-732BEEC7EEF8}">
      <text>
        <r>
          <rPr>
            <b/>
            <sz val="9"/>
            <color indexed="81"/>
            <rFont val="Tahoma"/>
            <family val="2"/>
          </rPr>
          <t>Jeff.G:</t>
        </r>
        <r>
          <rPr>
            <sz val="9"/>
            <color indexed="81"/>
            <rFont val="Tahoma"/>
            <family val="2"/>
          </rPr>
          <t xml:space="preserve">
earnings presentation</t>
        </r>
      </text>
    </comment>
    <comment ref="Y58" authorId="0" shapeId="0" xr:uid="{8B984BF8-7DA6-4A31-9F60-76E1503E0EA4}">
      <text>
        <r>
          <rPr>
            <b/>
            <sz val="9"/>
            <color indexed="81"/>
            <rFont val="Tahoma"/>
            <family val="2"/>
          </rPr>
          <t>Jeff.G:</t>
        </r>
        <r>
          <rPr>
            <sz val="9"/>
            <color indexed="81"/>
            <rFont val="Tahoma"/>
            <family val="2"/>
          </rPr>
          <t xml:space="preserve">
earnings presentation</t>
        </r>
      </text>
    </comment>
    <comment ref="Z58" authorId="0" shapeId="0" xr:uid="{D0546319-2306-4693-9AAA-5A49301D0ACF}">
      <text>
        <r>
          <rPr>
            <b/>
            <sz val="9"/>
            <color indexed="81"/>
            <rFont val="Tahoma"/>
            <family val="2"/>
          </rPr>
          <t>Jeff.G:</t>
        </r>
        <r>
          <rPr>
            <sz val="9"/>
            <color indexed="81"/>
            <rFont val="Tahoma"/>
            <family val="2"/>
          </rPr>
          <t xml:space="preserve">
earnings presentation</t>
        </r>
      </text>
    </comment>
    <comment ref="AA58" authorId="0" shapeId="0" xr:uid="{9D32BF62-4BCF-452F-BC9B-354E42E8845F}">
      <text>
        <r>
          <rPr>
            <b/>
            <sz val="9"/>
            <color indexed="81"/>
            <rFont val="Tahoma"/>
            <family val="2"/>
          </rPr>
          <t>Jeff.G:</t>
        </r>
        <r>
          <rPr>
            <sz val="9"/>
            <color indexed="81"/>
            <rFont val="Tahoma"/>
            <family val="2"/>
          </rPr>
          <t xml:space="preserve">
earnings presentation</t>
        </r>
      </text>
    </comment>
    <comment ref="AC58" authorId="0" shapeId="0" xr:uid="{3DE7F4C8-790E-4517-A9B8-A7848C626B00}">
      <text>
        <r>
          <rPr>
            <b/>
            <sz val="9"/>
            <color indexed="81"/>
            <rFont val="Tahoma"/>
            <family val="2"/>
          </rPr>
          <t>Jeff.G:</t>
        </r>
        <r>
          <rPr>
            <sz val="9"/>
            <color indexed="81"/>
            <rFont val="Tahoma"/>
            <family val="2"/>
          </rPr>
          <t xml:space="preserve">
earnings presentation</t>
        </r>
      </text>
    </comment>
    <comment ref="AD58" authorId="0" shapeId="0" xr:uid="{EB9EC1E7-B4F8-4939-9E9F-EFF513BD0F5E}">
      <text>
        <r>
          <rPr>
            <b/>
            <sz val="9"/>
            <color indexed="81"/>
            <rFont val="Tahoma"/>
            <family val="2"/>
          </rPr>
          <t>Jeff.G:</t>
        </r>
        <r>
          <rPr>
            <sz val="9"/>
            <color indexed="81"/>
            <rFont val="Tahoma"/>
            <family val="2"/>
          </rPr>
          <t xml:space="preserve">
vs. Actual 118K, higher volume growth, 40% phsycians has ordered Signatera in Q2</t>
        </r>
      </text>
    </comment>
    <comment ref="M59" authorId="0" shapeId="0" xr:uid="{537B01BC-F169-489D-86AD-67604CEE72B4}">
      <text>
        <r>
          <rPr>
            <b/>
            <sz val="9"/>
            <color indexed="81"/>
            <rFont val="Tahoma"/>
            <family val="2"/>
          </rPr>
          <t>Jeff.G:</t>
        </r>
        <r>
          <rPr>
            <sz val="9"/>
            <color indexed="81"/>
            <rFont val="Tahoma"/>
            <family val="2"/>
          </rPr>
          <t xml:space="preserve">
18.1 million cancer survivors in the U.S. per National Cancer Institute(.gov) </t>
        </r>
      </text>
    </comment>
    <comment ref="AB60" authorId="0" shapeId="0" xr:uid="{C1402345-5C4A-4237-8227-077865719ED6}">
      <text>
        <r>
          <rPr>
            <b/>
            <sz val="9"/>
            <color indexed="81"/>
            <rFont val="Tahoma"/>
            <family val="2"/>
          </rPr>
          <t>Jeff.G:</t>
        </r>
        <r>
          <rPr>
            <sz val="9"/>
            <color indexed="81"/>
            <rFont val="Tahoma"/>
            <family val="2"/>
          </rPr>
          <t xml:space="preserve">
Implied 2.0% market penetration rate based on reported volume and ~1000 ASP</t>
        </r>
      </text>
    </comment>
    <comment ref="AG60" authorId="0" shapeId="0" xr:uid="{377BE269-CA25-4963-BA47-B35C603BF83C}">
      <text>
        <r>
          <rPr>
            <b/>
            <sz val="9"/>
            <color indexed="81"/>
            <rFont val="Tahoma"/>
            <family val="2"/>
          </rPr>
          <t>Jeff.G:</t>
        </r>
        <r>
          <rPr>
            <sz val="9"/>
            <color indexed="81"/>
            <rFont val="Tahoma"/>
            <family val="2"/>
          </rPr>
          <t xml:space="preserve">
Implied 3.0% market penetration rate based on reported volume and resonable projected ASP</t>
        </r>
      </text>
    </comment>
    <comment ref="AL60" authorId="0" shapeId="0" xr:uid="{C119725A-3231-4A8A-B59C-A3599CFAD6F5}">
      <text>
        <r>
          <rPr>
            <b/>
            <sz val="9"/>
            <color indexed="81"/>
            <rFont val="Tahoma"/>
            <family val="2"/>
          </rPr>
          <t>Jeff.G:</t>
        </r>
        <r>
          <rPr>
            <sz val="9"/>
            <color indexed="81"/>
            <rFont val="Tahoma"/>
            <family val="2"/>
          </rPr>
          <t xml:space="preserve">
faster penetration rate due to management attempts to enter breast cancer and other cancer types.</t>
        </r>
      </text>
    </comment>
    <comment ref="AA62" authorId="0" shapeId="0" xr:uid="{6128EF12-5927-41EB-A043-993D47C7374B}">
      <text>
        <r>
          <rPr>
            <b/>
            <sz val="9"/>
            <color indexed="81"/>
            <rFont val="Tahoma"/>
            <family val="2"/>
          </rPr>
          <t>Jeff.G:</t>
        </r>
        <r>
          <rPr>
            <sz val="9"/>
            <color indexed="81"/>
            <rFont val="Tahoma"/>
            <family val="2"/>
          </rPr>
          <t xml:space="preserve">
earnings presentation ~$1000 ASP</t>
        </r>
      </text>
    </comment>
    <comment ref="AG62" authorId="0" shapeId="0" xr:uid="{38219F78-A95F-43AD-B560-0527F6F7AF21}">
      <text>
        <r>
          <rPr>
            <b/>
            <sz val="9"/>
            <color indexed="81"/>
            <rFont val="Tahoma"/>
            <family val="2"/>
          </rPr>
          <t>Jeff.G:</t>
        </r>
        <r>
          <rPr>
            <sz val="9"/>
            <color indexed="81"/>
            <rFont val="Tahoma"/>
            <family val="2"/>
          </rPr>
          <t xml:space="preserve">
forecast 10% ASP growth YoY</t>
        </r>
      </text>
    </comment>
    <comment ref="AL62" authorId="0" shapeId="0" xr:uid="{73B897AF-59AA-4BB4-85F0-C22BF09AF3DB}">
      <text>
        <r>
          <rPr>
            <b/>
            <sz val="9"/>
            <color indexed="81"/>
            <rFont val="Tahoma"/>
            <family val="2"/>
          </rPr>
          <t>Jeff.G:</t>
        </r>
        <r>
          <rPr>
            <sz val="9"/>
            <color indexed="81"/>
            <rFont val="Tahoma"/>
            <family val="2"/>
          </rPr>
          <t xml:space="preserve">
forecast 10% ASP growth YoY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Jeff.G</author>
  </authors>
  <commentList>
    <comment ref="AG31" authorId="0" shapeId="0" xr:uid="{451786DE-BB82-4BA0-89D6-0B1747D4C2AA}">
      <text>
        <r>
          <rPr>
            <b/>
            <sz val="9"/>
            <color indexed="81"/>
            <rFont val="Tahoma"/>
            <family val="2"/>
          </rPr>
          <t>Jeff.G:</t>
        </r>
        <r>
          <rPr>
            <sz val="9"/>
            <color indexed="81"/>
            <rFont val="Tahoma"/>
            <family val="2"/>
          </rPr>
          <t xml:space="preserve">
vs company guidance improved to 58.8%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Jeff.G</author>
  </authors>
  <commentList>
    <comment ref="AD56" authorId="0" shapeId="0" xr:uid="{61027397-6E3A-4BF2-B7C2-021EF6E98703}">
      <text>
        <r>
          <rPr>
            <b/>
            <sz val="9"/>
            <color indexed="81"/>
            <rFont val="Tahoma"/>
            <family val="2"/>
          </rPr>
          <t>Jeff.G:</t>
        </r>
        <r>
          <rPr>
            <sz val="9"/>
            <color indexed="81"/>
            <rFont val="Tahoma"/>
            <family val="2"/>
          </rPr>
          <t xml:space="preserve">
in line with previous %
</t>
        </r>
      </text>
    </comment>
  </commentList>
</comments>
</file>

<file path=xl/sharedStrings.xml><?xml version="1.0" encoding="utf-8"?>
<sst xmlns="http://schemas.openxmlformats.org/spreadsheetml/2006/main" count="596" uniqueCount="265">
  <si>
    <t>Revenue Model</t>
    <phoneticPr fontId="1" type="noConversion"/>
  </si>
  <si>
    <t>A</t>
  </si>
  <si>
    <t>1Q19</t>
  </si>
  <si>
    <t>2Q19</t>
  </si>
  <si>
    <t>3Q19</t>
  </si>
  <si>
    <t>4Q19</t>
  </si>
  <si>
    <t>E</t>
  </si>
  <si>
    <t>1Q20</t>
  </si>
  <si>
    <t>2Q20</t>
  </si>
  <si>
    <t>3Q20</t>
  </si>
  <si>
    <t>4Q20</t>
  </si>
  <si>
    <t>1Q24</t>
  </si>
  <si>
    <t>2Q24</t>
  </si>
  <si>
    <t>3Q24</t>
  </si>
  <si>
    <t>4Q24</t>
  </si>
  <si>
    <t>1Q23</t>
  </si>
  <si>
    <t>2Q23</t>
  </si>
  <si>
    <t>3Q23</t>
  </si>
  <si>
    <t>4Q23</t>
  </si>
  <si>
    <t>1Q25</t>
  </si>
  <si>
    <t>2Q25</t>
  </si>
  <si>
    <t>3Q25</t>
  </si>
  <si>
    <t>4Q25</t>
  </si>
  <si>
    <t>1Q21</t>
  </si>
  <si>
    <t>2Q21</t>
  </si>
  <si>
    <t>3Q21</t>
  </si>
  <si>
    <t>4Q21</t>
  </si>
  <si>
    <t>1Q22</t>
  </si>
  <si>
    <t>2Q22</t>
  </si>
  <si>
    <t>3Q22</t>
  </si>
  <si>
    <t>4Q22</t>
  </si>
  <si>
    <t>1Q26</t>
  </si>
  <si>
    <t>2Q26</t>
  </si>
  <si>
    <t>3Q26</t>
  </si>
  <si>
    <t>4Q26</t>
  </si>
  <si>
    <t>Income Statement</t>
    <phoneticPr fontId="1" type="noConversion"/>
  </si>
  <si>
    <t>x</t>
    <phoneticPr fontId="1" type="noConversion"/>
  </si>
  <si>
    <t>Product Revenue</t>
    <phoneticPr fontId="1" type="noConversion"/>
  </si>
  <si>
    <t xml:space="preserve">  Growth YoY</t>
  </si>
  <si>
    <t xml:space="preserve">  Growth YoY</t>
    <phoneticPr fontId="1" type="noConversion"/>
  </si>
  <si>
    <t>Licensing &amp; Other Revenue</t>
    <phoneticPr fontId="1" type="noConversion"/>
  </si>
  <si>
    <t>Total Revenue</t>
    <phoneticPr fontId="1" type="noConversion"/>
  </si>
  <si>
    <t>Total COGS</t>
    <phoneticPr fontId="1" type="noConversion"/>
  </si>
  <si>
    <t>Gross Profit</t>
    <phoneticPr fontId="1" type="noConversion"/>
  </si>
  <si>
    <t>SG&amp;A</t>
    <phoneticPr fontId="1" type="noConversion"/>
  </si>
  <si>
    <t>R&amp;D</t>
    <phoneticPr fontId="1" type="noConversion"/>
  </si>
  <si>
    <t>Total Revenues</t>
    <phoneticPr fontId="1" type="noConversion"/>
  </si>
  <si>
    <t xml:space="preserve">     Growth YoY</t>
    <phoneticPr fontId="1" type="noConversion"/>
  </si>
  <si>
    <t>Interest Income</t>
    <phoneticPr fontId="1" type="noConversion"/>
  </si>
  <si>
    <t>Other expense</t>
    <phoneticPr fontId="1" type="noConversion"/>
  </si>
  <si>
    <t>Pre-tax Income</t>
    <phoneticPr fontId="1" type="noConversion"/>
  </si>
  <si>
    <t>Tax rate</t>
    <phoneticPr fontId="1" type="noConversion"/>
  </si>
  <si>
    <t>Net Income</t>
    <phoneticPr fontId="1" type="noConversion"/>
  </si>
  <si>
    <t>Fully diluted shares</t>
    <phoneticPr fontId="1" type="noConversion"/>
  </si>
  <si>
    <t>Diluted EPS</t>
    <phoneticPr fontId="1" type="noConversion"/>
  </si>
  <si>
    <t>Income Taxes</t>
    <phoneticPr fontId="1" type="noConversion"/>
  </si>
  <si>
    <t>Operating Income (EBIT)</t>
    <phoneticPr fontId="1" type="noConversion"/>
  </si>
  <si>
    <t>Growth Build (Primary Approach)</t>
    <phoneticPr fontId="1" type="noConversion"/>
  </si>
  <si>
    <t>Interest Income / (Expense)</t>
    <phoneticPr fontId="1" type="noConversion"/>
  </si>
  <si>
    <t>Balance Sheet</t>
    <phoneticPr fontId="1" type="noConversion"/>
  </si>
  <si>
    <t>Cash Flow Statement</t>
    <phoneticPr fontId="1" type="noConversion"/>
  </si>
  <si>
    <t>Margin Analysis &amp; Build</t>
    <phoneticPr fontId="1" type="noConversion"/>
  </si>
  <si>
    <t>EBIT</t>
    <phoneticPr fontId="1" type="noConversion"/>
  </si>
  <si>
    <t>Comparable Peers</t>
    <phoneticPr fontId="1" type="noConversion"/>
  </si>
  <si>
    <t>Financial Model</t>
    <phoneticPr fontId="1" type="noConversion"/>
  </si>
  <si>
    <t>Natera</t>
    <phoneticPr fontId="1" type="noConversion"/>
  </si>
  <si>
    <t>Color Code</t>
    <phoneticPr fontId="1" type="noConversion"/>
  </si>
  <si>
    <t>Blue</t>
    <phoneticPr fontId="1" type="noConversion"/>
  </si>
  <si>
    <t>Green</t>
    <phoneticPr fontId="1" type="noConversion"/>
  </si>
  <si>
    <t>Black</t>
    <phoneticPr fontId="1" type="noConversion"/>
  </si>
  <si>
    <t>Hardcoded Input (per 10Q/10k/Press release)</t>
    <phoneticPr fontId="1" type="noConversion"/>
  </si>
  <si>
    <t>Link from another exhibit</t>
    <phoneticPr fontId="1" type="noConversion"/>
  </si>
  <si>
    <t>Formula</t>
    <phoneticPr fontId="1" type="noConversion"/>
  </si>
  <si>
    <t>Jeff Guo</t>
    <phoneticPr fontId="1" type="noConversion"/>
  </si>
  <si>
    <t>Purple</t>
    <phoneticPr fontId="1" type="noConversion"/>
  </si>
  <si>
    <t>Commentary</t>
    <phoneticPr fontId="1" type="noConversion"/>
  </si>
  <si>
    <t>Licensing and Other Revenue</t>
    <phoneticPr fontId="1" type="noConversion"/>
  </si>
  <si>
    <t>NA</t>
    <phoneticPr fontId="1" type="noConversion"/>
  </si>
  <si>
    <t>Implied cost per test</t>
    <phoneticPr fontId="1" type="noConversion"/>
  </si>
  <si>
    <t>End</t>
    <phoneticPr fontId="1" type="noConversion"/>
  </si>
  <si>
    <t>Licensing and Others COGS</t>
    <phoneticPr fontId="1" type="noConversion"/>
  </si>
  <si>
    <t>Product COGS</t>
    <phoneticPr fontId="1" type="noConversion"/>
  </si>
  <si>
    <t>Company Name</t>
    <phoneticPr fontId="1" type="noConversion"/>
  </si>
  <si>
    <t>Ticker</t>
    <phoneticPr fontId="1" type="noConversion"/>
  </si>
  <si>
    <t>Mkt. Cap</t>
    <phoneticPr fontId="1" type="noConversion"/>
  </si>
  <si>
    <t>Mean</t>
    <phoneticPr fontId="1" type="noConversion"/>
  </si>
  <si>
    <t>Median</t>
    <phoneticPr fontId="1" type="noConversion"/>
  </si>
  <si>
    <t>High</t>
    <phoneticPr fontId="1" type="noConversion"/>
  </si>
  <si>
    <t>Low</t>
    <phoneticPr fontId="1" type="noConversion"/>
  </si>
  <si>
    <t>2025E</t>
    <phoneticPr fontId="1" type="noConversion"/>
  </si>
  <si>
    <t>EXAS</t>
    <phoneticPr fontId="1" type="noConversion"/>
  </si>
  <si>
    <t>MYGN</t>
  </si>
  <si>
    <t>NEO</t>
    <phoneticPr fontId="1" type="noConversion"/>
  </si>
  <si>
    <t>GH</t>
    <phoneticPr fontId="1" type="noConversion"/>
  </si>
  <si>
    <t>CDNA</t>
    <phoneticPr fontId="1" type="noConversion"/>
  </si>
  <si>
    <t>EV/S</t>
    <phoneticPr fontId="1" type="noConversion"/>
  </si>
  <si>
    <t>Cash</t>
    <phoneticPr fontId="1" type="noConversion"/>
  </si>
  <si>
    <t>Debt</t>
    <phoneticPr fontId="1" type="noConversion"/>
  </si>
  <si>
    <t>Target Price</t>
    <phoneticPr fontId="1" type="noConversion"/>
  </si>
  <si>
    <t>Current Price</t>
    <phoneticPr fontId="1" type="noConversion"/>
  </si>
  <si>
    <t>Upside</t>
    <phoneticPr fontId="1" type="noConversion"/>
  </si>
  <si>
    <t>Growth Build (Secondary Apporach)</t>
    <phoneticPr fontId="1" type="noConversion"/>
  </si>
  <si>
    <t>Panorama (NIPT)</t>
    <phoneticPr fontId="1" type="noConversion"/>
  </si>
  <si>
    <t>Vs Consensus</t>
    <phoneticPr fontId="1" type="noConversion"/>
  </si>
  <si>
    <t>EV/Sales*</t>
    <phoneticPr fontId="1" type="noConversion"/>
  </si>
  <si>
    <t>Revenue consensus estimates per Yahoo Finance</t>
    <phoneticPr fontId="1" type="noConversion"/>
  </si>
  <si>
    <t>Test Volume processed</t>
    <phoneticPr fontId="1" type="noConversion"/>
  </si>
  <si>
    <t>Gross Margin per test</t>
    <phoneticPr fontId="1" type="noConversion"/>
  </si>
  <si>
    <t>Sales Growth*</t>
    <phoneticPr fontId="1" type="noConversion"/>
  </si>
  <si>
    <t>*EV/Sales and sales growth estimates per Yahoo Finance</t>
    <phoneticPr fontId="1" type="noConversion"/>
  </si>
  <si>
    <t>Reproductive Health</t>
    <phoneticPr fontId="1" type="noConversion"/>
  </si>
  <si>
    <t xml:space="preserve">  Revenue</t>
  </si>
  <si>
    <t xml:space="preserve">  Test Volume</t>
  </si>
  <si>
    <t>Signatera MRD</t>
    <phoneticPr fontId="1" type="noConversion"/>
  </si>
  <si>
    <t>Oncology</t>
    <phoneticPr fontId="1" type="noConversion"/>
  </si>
  <si>
    <t xml:space="preserve">  Average ASP</t>
    <phoneticPr fontId="1" type="noConversion"/>
  </si>
  <si>
    <t>Horizon Carrier Screening  (HCS)</t>
    <phoneticPr fontId="1" type="noConversion"/>
  </si>
  <si>
    <t xml:space="preserve">  Delta</t>
    <phoneticPr fontId="1" type="noConversion"/>
  </si>
  <si>
    <t xml:space="preserve">  Growth YoY </t>
    <phoneticPr fontId="1" type="noConversion"/>
  </si>
  <si>
    <t>Assets</t>
    <phoneticPr fontId="1" type="noConversion"/>
  </si>
  <si>
    <t>Current Assets</t>
    <phoneticPr fontId="1" type="noConversion"/>
  </si>
  <si>
    <t>Cash and cash equivalents</t>
    <phoneticPr fontId="1" type="noConversion"/>
  </si>
  <si>
    <t>Short-term investmetns</t>
    <phoneticPr fontId="1" type="noConversion"/>
  </si>
  <si>
    <t>Restricted cash</t>
    <phoneticPr fontId="1" type="noConversion"/>
  </si>
  <si>
    <t>Accounts receivables</t>
    <phoneticPr fontId="1" type="noConversion"/>
  </si>
  <si>
    <t>Inventory</t>
    <phoneticPr fontId="1" type="noConversion"/>
  </si>
  <si>
    <t>Prepaid expenses and other</t>
    <phoneticPr fontId="1" type="noConversion"/>
  </si>
  <si>
    <t>Total assets</t>
    <phoneticPr fontId="1" type="noConversion"/>
  </si>
  <si>
    <t>Liabilities</t>
  </si>
  <si>
    <t>Implied average ASP</t>
    <phoneticPr fontId="1" type="noConversion"/>
  </si>
  <si>
    <t>Implied Average ASP</t>
    <phoneticPr fontId="1" type="noConversion"/>
  </si>
  <si>
    <t xml:space="preserve">    Growth YoY </t>
    <phoneticPr fontId="1" type="noConversion"/>
  </si>
  <si>
    <t>Test Volume*</t>
    <phoneticPr fontId="1" type="noConversion"/>
  </si>
  <si>
    <t>Revenue*</t>
    <phoneticPr fontId="1" type="noConversion"/>
  </si>
  <si>
    <t>Test Volume (tests reported in lab)</t>
    <phoneticPr fontId="1" type="noConversion"/>
  </si>
  <si>
    <t>Implied blended price per test (ASP)</t>
    <phoneticPr fontId="1" type="noConversion"/>
  </si>
  <si>
    <t>Revenue (residual)</t>
    <phoneticPr fontId="1" type="noConversion"/>
  </si>
  <si>
    <t>Based on specific product volume and ASP approach</t>
    <phoneticPr fontId="1" type="noConversion"/>
  </si>
  <si>
    <t>Based on total test volume and blended ASP approach (mix products)</t>
    <phoneticPr fontId="1" type="noConversion"/>
  </si>
  <si>
    <t>* After Q3 2019, specific test volumes and revenues were no longer provided in public (10Q).</t>
    <phoneticPr fontId="1" type="noConversion"/>
  </si>
  <si>
    <t>Since management decided not to release info on specific product revenue streams and test volumes in public after Q3 2019, some of calculation based on my reasonable assumptions</t>
    <phoneticPr fontId="1" type="noConversion"/>
  </si>
  <si>
    <t>Other Products revenues (Inc. transplant and other testing)</t>
    <phoneticPr fontId="1" type="noConversion"/>
  </si>
  <si>
    <t>Current liabilities:</t>
  </si>
  <si>
    <t>Accounts Payable</t>
  </si>
  <si>
    <t>Accrued Compensation</t>
  </si>
  <si>
    <t>Accrued Liabilities</t>
  </si>
  <si>
    <t>Deferred Revenue</t>
  </si>
  <si>
    <t>Equipment Financing</t>
  </si>
  <si>
    <t>Other Debt</t>
  </si>
  <si>
    <t>Warrants</t>
  </si>
  <si>
    <t>Deferred Rent</t>
  </si>
  <si>
    <t>Other- Non-Current Portion</t>
  </si>
  <si>
    <t>Long-term Debt</t>
  </si>
  <si>
    <t>Equity</t>
  </si>
  <si>
    <t>Preferred Stock</t>
  </si>
  <si>
    <t>Common Stock</t>
  </si>
  <si>
    <t>Additional paid-in capital</t>
  </si>
  <si>
    <t>Accumulated other comprehensive income</t>
  </si>
  <si>
    <t>Accumulated deficit</t>
  </si>
  <si>
    <t>Total Current Assets</t>
    <phoneticPr fontId="1" type="noConversion"/>
  </si>
  <si>
    <t>Property and equipment, net</t>
    <phoneticPr fontId="1" type="noConversion"/>
  </si>
  <si>
    <t>Other assets</t>
    <phoneticPr fontId="1" type="noConversion"/>
  </si>
  <si>
    <t>Total current liabilities</t>
    <phoneticPr fontId="1" type="noConversion"/>
  </si>
  <si>
    <t xml:space="preserve">Total liabilities </t>
    <phoneticPr fontId="1" type="noConversion"/>
  </si>
  <si>
    <t>Total stockholders’ deficit</t>
    <phoneticPr fontId="1" type="noConversion"/>
  </si>
  <si>
    <t>Total Liabilities and Equity</t>
    <phoneticPr fontId="1" type="noConversion"/>
  </si>
  <si>
    <t>Check</t>
    <phoneticPr fontId="1" type="noConversion"/>
  </si>
  <si>
    <t>Includes Deferred revenue, long-term portion, operating lease liabilities, long-term portion, other long-term liabilities</t>
    <phoneticPr fontId="1" type="noConversion"/>
  </si>
  <si>
    <t>Includes operating lease right of use assets</t>
    <phoneticPr fontId="1" type="noConversion"/>
  </si>
  <si>
    <t>Days Sales Oustanding (DSO)</t>
  </si>
  <si>
    <t>Inventory Days (DIO)</t>
  </si>
  <si>
    <t>Days Payable Outstanding (DPO)</t>
  </si>
  <si>
    <t>Cash Conversion Cycle</t>
  </si>
  <si>
    <t>NTRA</t>
    <phoneticPr fontId="1" type="noConversion"/>
  </si>
  <si>
    <t>Natera, Inc</t>
    <phoneticPr fontId="1" type="noConversion"/>
  </si>
  <si>
    <t>Myriad Genetics, Inc.</t>
  </si>
  <si>
    <t>Exact Sciences Corporation</t>
  </si>
  <si>
    <t>NeoGenomics, Inc</t>
  </si>
  <si>
    <t>Guardant Health, Inc.</t>
  </si>
  <si>
    <t>CareDx, Inc</t>
  </si>
  <si>
    <t>ADPT</t>
    <phoneticPr fontId="1" type="noConversion"/>
  </si>
  <si>
    <t>Adaptive Biotechnologies Corporation</t>
  </si>
  <si>
    <t>Applied 9.0x EV/sales as reasonable assumption, considering NTRA has the highest revenue growth among its peers of median of 11.0% growth</t>
    <phoneticPr fontId="1" type="noConversion"/>
  </si>
  <si>
    <t>Highest revenue growth showing its strengthen and volume momentum</t>
    <phoneticPr fontId="1" type="noConversion"/>
  </si>
  <si>
    <t xml:space="preserve">  TAM (# of tumor cancer surviviors in U.S.)</t>
    <phoneticPr fontId="1" type="noConversion"/>
  </si>
  <si>
    <t>keep interest income flat as 6.0</t>
    <phoneticPr fontId="1" type="noConversion"/>
  </si>
  <si>
    <t>keep flat as 3.1 based on 1Q24 interest expense</t>
    <phoneticPr fontId="1" type="noConversion"/>
  </si>
  <si>
    <t>Based on last 3 historical years,R&amp;D ratio is in a decline trend so projected steadily decline</t>
    <phoneticPr fontId="1" type="noConversion"/>
  </si>
  <si>
    <t>Based on last 3 historical years, SG&amp;A ratio is in a decline trend so projected steady decline</t>
    <phoneticPr fontId="1" type="noConversion"/>
  </si>
  <si>
    <t>Operating activities</t>
  </si>
  <si>
    <t>GAAP Net income</t>
  </si>
  <si>
    <t>Depreciation and amortization</t>
  </si>
  <si>
    <t>Depreciation</t>
  </si>
  <si>
    <t>Share-based compensation</t>
  </si>
  <si>
    <t>Other non-cash items</t>
  </si>
  <si>
    <t>Changes in assets and liabilities</t>
  </si>
  <si>
    <t xml:space="preserve">Accounts receivable </t>
  </si>
  <si>
    <t>Inventories</t>
  </si>
  <si>
    <t>Accounts payable</t>
  </si>
  <si>
    <t>Other, net</t>
  </si>
  <si>
    <t>Net cash provided by operating activities</t>
  </si>
  <si>
    <t>Capital expenditure</t>
  </si>
  <si>
    <t>Purchase of marketable securities, net</t>
  </si>
  <si>
    <t>Proceeds from sale of assets</t>
  </si>
  <si>
    <t>Change in short-term investments, net</t>
  </si>
  <si>
    <t>Cost of acquisitions and investments, net of cash acquired</t>
  </si>
  <si>
    <t>Payments made for intangibles</t>
  </si>
  <si>
    <t>Other</t>
  </si>
  <si>
    <t>Net cash flow from investing activities</t>
  </si>
  <si>
    <t>Repayments of borrowings</t>
  </si>
  <si>
    <t>Issuance costs</t>
  </si>
  <si>
    <t>Net proceeds from public offering of common stock</t>
  </si>
  <si>
    <t>Net proceeds from issuance of common stock issued under share-based comp</t>
  </si>
  <si>
    <t>Deferred offering costs</t>
  </si>
  <si>
    <t>Purchase of common stock</t>
  </si>
  <si>
    <t>Dividends paid</t>
  </si>
  <si>
    <t>Net cash provided by financing activities</t>
  </si>
  <si>
    <t>Effect of exchange rate changes</t>
  </si>
  <si>
    <t>Effect of variable interest entity</t>
  </si>
  <si>
    <t>Net increase (decrease) in cash</t>
  </si>
  <si>
    <t>Cash and cash equivalents, BOP</t>
  </si>
  <si>
    <t>Cash and cash equivalents, EOP</t>
  </si>
  <si>
    <t>Financing activities</t>
    <phoneticPr fontId="1" type="noConversion"/>
  </si>
  <si>
    <t>Investing activities</t>
    <phoneticPr fontId="1" type="noConversion"/>
  </si>
  <si>
    <t>This includes both cash and short term investments</t>
    <phoneticPr fontId="1" type="noConversion"/>
  </si>
  <si>
    <t>This includes both both short term and long term debt</t>
    <phoneticPr fontId="1" type="noConversion"/>
  </si>
  <si>
    <t>Comments</t>
    <phoneticPr fontId="1" type="noConversion"/>
  </si>
  <si>
    <t>Fixed Assets</t>
    <phoneticPr fontId="1" type="noConversion"/>
  </si>
  <si>
    <t>Valuation (use EV/Sales)</t>
    <phoneticPr fontId="1" type="noConversion"/>
  </si>
  <si>
    <t>Revenue estimates FY25</t>
    <phoneticPr fontId="1" type="noConversion"/>
  </si>
  <si>
    <t>Working Capital Metrics &amp; Build</t>
    <phoneticPr fontId="1" type="noConversion"/>
  </si>
  <si>
    <t>Capital Expenditures</t>
  </si>
  <si>
    <t>% of Revenues</t>
  </si>
  <si>
    <t>%PP&amp;E</t>
    <phoneticPr fontId="1" type="noConversion"/>
  </si>
  <si>
    <t xml:space="preserve">x </t>
    <phoneticPr fontId="1" type="noConversion"/>
  </si>
  <si>
    <t>Projection based on working capital metrics table</t>
    <phoneticPr fontId="1" type="noConversion"/>
  </si>
  <si>
    <t>Projection based on fixed asset metrics table</t>
    <phoneticPr fontId="1" type="noConversion"/>
  </si>
  <si>
    <t>*Quarterly numbers are scratch, not tied to frecasting</t>
    <phoneticPr fontId="1" type="noConversion"/>
  </si>
  <si>
    <t>Natera market share</t>
    <phoneticPr fontId="1" type="noConversion"/>
  </si>
  <si>
    <t>*Data sourced per 10Qs</t>
    <phoneticPr fontId="1" type="noConversion"/>
  </si>
  <si>
    <t xml:space="preserve">Apply 1% increase in fully diluted shares </t>
    <phoneticPr fontId="1" type="noConversion"/>
  </si>
  <si>
    <t>Incremental upside</t>
    <phoneticPr fontId="1" type="noConversion"/>
  </si>
  <si>
    <t>Market penetration rate (Implied)</t>
    <phoneticPr fontId="1" type="noConversion"/>
  </si>
  <si>
    <t>Delta between two approaches</t>
    <phoneticPr fontId="1" type="noConversion"/>
  </si>
  <si>
    <t>Total product revenue (secondary approach)</t>
    <phoneticPr fontId="1" type="noConversion"/>
  </si>
  <si>
    <t>FY24</t>
    <phoneticPr fontId="1" type="noConversion"/>
  </si>
  <si>
    <t>FY25</t>
    <phoneticPr fontId="1" type="noConversion"/>
  </si>
  <si>
    <t xml:space="preserve">Considering large underpenetrated MRD market and management aggressive movements into different cancer types, I think it will reflect quicker penetration growth in the near term </t>
    <phoneticPr fontId="1" type="noConversion"/>
  </si>
  <si>
    <t>Incremental growth of Signatera lifiting up total products profit margins due to its higher margin profile and make average bleneded cost per unit lower</t>
    <phoneticPr fontId="1" type="noConversion"/>
  </si>
  <si>
    <t>Closing price as of 7/25/2024</t>
    <phoneticPr fontId="1" type="noConversion"/>
  </si>
  <si>
    <t>Comments</t>
  </si>
  <si>
    <t>Reflects higher ASP</t>
    <phoneticPr fontId="1" type="noConversion"/>
  </si>
  <si>
    <t>Pricing ASP increase</t>
    <phoneticPr fontId="1" type="noConversion"/>
  </si>
  <si>
    <t>Medicare coverage Effect</t>
    <phoneticPr fontId="1" type="noConversion"/>
  </si>
  <si>
    <t>Vs Actual Q2 2024</t>
    <phoneticPr fontId="1" type="noConversion"/>
  </si>
  <si>
    <t>Management revenue guidance for FY2024 revenue is $1.42- $1.45Bn per 1Q24 earnings call, raise to $1.49-1.52B</t>
    <phoneticPr fontId="1" type="noConversion"/>
  </si>
  <si>
    <t xml:space="preserve">May have certain share loss, but growing market </t>
    <phoneticPr fontId="1" type="noConversion"/>
  </si>
  <si>
    <t xml:space="preserve">Exact Sciences will also release MRD product line </t>
    <phoneticPr fontId="1" type="noConversion"/>
  </si>
  <si>
    <t>https://www.exactsciences.com/pipeline-and-data/molecular-residual-disease</t>
  </si>
  <si>
    <t>Although more competitors are expected to enter the MRD space in the coming years, the switching costs provide a significant advantage, putting Natera (NTRA) in a strong and resilient position.</t>
    <phoneticPr fontId="1" type="noConversion"/>
  </si>
  <si>
    <t>Sub-header</t>
    <phoneticPr fontId="1" type="noConversion"/>
  </si>
  <si>
    <t>$ in millions, except test volumes, TAM, and per share amounts</t>
    <phoneticPr fontId="1" type="noConversion"/>
  </si>
  <si>
    <t>$ in millions</t>
    <phoneticPr fontId="1" type="noConversion"/>
  </si>
  <si>
    <t>Cell D2 is named as "Name"</t>
    <phoneticPr fontId="1" type="noConversion"/>
  </si>
  <si>
    <t>Cell D5 is named as "Subheader"</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</si>
</sst>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76" formatCode="#,##0.0_);\(#,##0.0\)"/>
    <numFmt numFmtId="177" formatCode="0.0"/>
    <numFmt numFmtId="178" formatCode="0.0_ "/>
    <numFmt numFmtId="179" formatCode="0.0%"/>
    <numFmt numFmtId="180" formatCode="0.0%_);\(0.0%\);0.0%_);@_)"/>
    <numFmt numFmtId="181" formatCode="_ * #,##0.0_ ;_ * \-#,##0.0_ ;_ * &quot;-&quot;??_ ;_ @_ "/>
    <numFmt numFmtId="182" formatCode="0%_);\(0%\);0%_);@_)"/>
    <numFmt numFmtId="183" formatCode="&quot;$&quot;#,##0.00_);\(&quot;$&quot;#,##0.00\)"/>
    <numFmt numFmtId="184" formatCode="&quot;$&quot;#,##0.0_);\(&quot;$&quot;#,##0.0\)"/>
    <numFmt numFmtId="185" formatCode="0.000_ "/>
    <numFmt numFmtId="186" formatCode="&quot;$&quot;#,##0_);\(&quot;$&quot;#,##0\)"/>
    <numFmt numFmtId="187" formatCode="0.000000000_ "/>
    <numFmt numFmtId="188" formatCode="0.0_);\(0.0\)"/>
    <numFmt numFmtId="189" formatCode="0_);\(0\)"/>
    <numFmt numFmtId="190" formatCode="0.0&quot;x&quot;"/>
    <numFmt numFmtId="191" formatCode="0_ "/>
  </numFmts>
  <fonts count="49" x14ac:knownFonts="1">
    <font>
      <sz val="11"/>
      <color theme="1"/>
      <name val="等线"/>
      <family val="2"/>
      <scheme val="minor"/>
    </font>
    <font>
      <sz val="9"/>
      <name val="等线"/>
      <family val="3"/>
      <charset val="134"/>
      <scheme val="minor"/>
    </font>
    <font>
      <sz val="8"/>
      <name val="Arial"/>
      <family val="2"/>
    </font>
    <font>
      <sz val="10"/>
      <color indexed="10"/>
      <name val="Arial"/>
      <family val="2"/>
    </font>
    <font>
      <b/>
      <sz val="14"/>
      <name val="Arial"/>
      <family val="2"/>
    </font>
    <font>
      <b/>
      <sz val="10"/>
      <name val="Arial"/>
      <family val="2"/>
    </font>
    <font>
      <sz val="10"/>
      <name val="Arial"/>
      <family val="2"/>
    </font>
    <font>
      <sz val="10"/>
      <color theme="1"/>
      <name val="Arial"/>
      <family val="2"/>
    </font>
    <font>
      <b/>
      <sz val="14"/>
      <color theme="1"/>
      <name val="Arial"/>
      <family val="2"/>
    </font>
    <font>
      <b/>
      <sz val="10"/>
      <color theme="0"/>
      <name val="Arial"/>
      <family val="2"/>
    </font>
    <font>
      <sz val="10"/>
      <color theme="0"/>
      <name val="Arial"/>
      <family val="2"/>
    </font>
    <font>
      <i/>
      <sz val="10"/>
      <color theme="0"/>
      <name val="Arial"/>
      <family val="2"/>
    </font>
    <font>
      <sz val="11"/>
      <color theme="1"/>
      <name val="Arial"/>
      <family val="2"/>
    </font>
    <font>
      <b/>
      <sz val="11"/>
      <color theme="1"/>
      <name val="Arial"/>
      <family val="2"/>
    </font>
    <font>
      <sz val="11"/>
      <color theme="1"/>
      <name val="等线"/>
      <family val="2"/>
      <scheme val="minor"/>
    </font>
    <font>
      <i/>
      <sz val="11"/>
      <color theme="1"/>
      <name val="Arial"/>
      <family val="2"/>
    </font>
    <font>
      <sz val="11"/>
      <color theme="0"/>
      <name val="Arial"/>
      <family val="2"/>
    </font>
    <font>
      <sz val="11"/>
      <name val="Arial"/>
      <family val="2"/>
    </font>
    <font>
      <sz val="11"/>
      <color rgb="FF0000FF"/>
      <name val="Arial"/>
      <family val="2"/>
    </font>
    <font>
      <sz val="9"/>
      <color indexed="81"/>
      <name val="Tahoma"/>
      <family val="2"/>
    </font>
    <font>
      <b/>
      <sz val="9"/>
      <color indexed="81"/>
      <name val="Tahoma"/>
      <family val="2"/>
    </font>
    <font>
      <b/>
      <sz val="14"/>
      <color theme="0"/>
      <name val="Arial"/>
      <family val="2"/>
    </font>
    <font>
      <sz val="11"/>
      <color rgb="FF7030A0"/>
      <name val="Arial"/>
      <family val="2"/>
    </font>
    <font>
      <b/>
      <sz val="9"/>
      <name val="Arial"/>
      <family val="2"/>
    </font>
    <font>
      <sz val="9"/>
      <name val="Arial"/>
      <family val="2"/>
    </font>
    <font>
      <sz val="9"/>
      <color theme="1"/>
      <name val="Arial"/>
      <family val="2"/>
    </font>
    <font>
      <b/>
      <sz val="9"/>
      <color theme="1"/>
      <name val="Arial"/>
      <family val="2"/>
    </font>
    <font>
      <b/>
      <sz val="9"/>
      <color theme="0"/>
      <name val="Arial"/>
      <family val="2"/>
    </font>
    <font>
      <sz val="9"/>
      <color theme="0"/>
      <name val="Arial"/>
      <family val="2"/>
    </font>
    <font>
      <i/>
      <sz val="9"/>
      <color theme="0"/>
      <name val="Arial"/>
      <family val="2"/>
    </font>
    <font>
      <i/>
      <sz val="9"/>
      <name val="Arial"/>
      <family val="2"/>
    </font>
    <font>
      <i/>
      <sz val="9"/>
      <color theme="1"/>
      <name val="Arial"/>
      <family val="2"/>
    </font>
    <font>
      <b/>
      <u/>
      <sz val="9"/>
      <name val="Arial"/>
      <family val="2"/>
    </font>
    <font>
      <u/>
      <sz val="9"/>
      <name val="Arial"/>
      <family val="2"/>
    </font>
    <font>
      <sz val="9"/>
      <color rgb="FF0000FF"/>
      <name val="Arial"/>
      <family val="2"/>
    </font>
    <font>
      <i/>
      <sz val="9"/>
      <color rgb="FF0000FF"/>
      <name val="Arial"/>
      <family val="2"/>
    </font>
    <font>
      <b/>
      <sz val="9"/>
      <color rgb="FF0000FF"/>
      <name val="Arial"/>
      <family val="2"/>
    </font>
    <font>
      <i/>
      <sz val="9"/>
      <color rgb="FF7030A0"/>
      <name val="Arial"/>
      <family val="2"/>
    </font>
    <font>
      <sz val="9"/>
      <color rgb="FF7030A0"/>
      <name val="Arial"/>
      <family val="2"/>
    </font>
    <font>
      <b/>
      <sz val="9"/>
      <color rgb="FF7030A0"/>
      <name val="Arial"/>
      <family val="2"/>
    </font>
    <font>
      <b/>
      <sz val="9"/>
      <color rgb="FF00B050"/>
      <name val="Arial"/>
      <family val="2"/>
    </font>
    <font>
      <sz val="9"/>
      <color rgb="FF00B050"/>
      <name val="Arial"/>
      <family val="2"/>
    </font>
    <font>
      <i/>
      <sz val="9"/>
      <color rgb="FF00B050"/>
      <name val="Arial"/>
      <family val="2"/>
    </font>
    <font>
      <b/>
      <u/>
      <sz val="9"/>
      <color theme="1"/>
      <name val="Arial"/>
      <family val="2"/>
    </font>
    <font>
      <sz val="9"/>
      <color indexed="12"/>
      <name val="Arial"/>
      <family val="2"/>
    </font>
    <font>
      <b/>
      <sz val="9"/>
      <color rgb="FFFF0000"/>
      <name val="Arial"/>
      <family val="2"/>
    </font>
    <font>
      <b/>
      <sz val="13"/>
      <color theme="0"/>
      <name val="Arial"/>
      <family val="2"/>
    </font>
    <font>
      <b/>
      <i/>
      <sz val="9"/>
      <color theme="1"/>
      <name val="Arial"/>
      <family val="2"/>
    </font>
    <font>
      <sz val="9"/>
      <color indexed="10"/>
      <name val="Arial"/>
      <family val="2"/>
    </font>
  </fonts>
  <fills count="7">
    <fill>
      <patternFill patternType="none"/>
    </fill>
    <fill>
      <patternFill patternType="gray125"/>
    </fill>
    <fill>
      <patternFill patternType="solid">
        <fgColor rgb="FF002060"/>
        <bgColor indexed="64"/>
      </patternFill>
    </fill>
    <fill>
      <patternFill patternType="solid">
        <fgColor rgb="FF7399C6"/>
        <bgColor indexed="64"/>
      </patternFill>
    </fill>
    <fill>
      <patternFill patternType="solid">
        <fgColor theme="0" tint="-0.14999847407452621"/>
        <bgColor indexed="64"/>
      </patternFill>
    </fill>
    <fill>
      <patternFill patternType="solid">
        <fgColor rgb="FFF2D9FF"/>
        <bgColor indexed="64"/>
      </patternFill>
    </fill>
    <fill>
      <patternFill patternType="solid">
        <fgColor theme="0"/>
        <bgColor indexed="64"/>
      </patternFill>
    </fill>
  </fills>
  <borders count="17">
    <border>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style="thin">
        <color indexed="64"/>
      </left>
      <right/>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hair">
        <color auto="1"/>
      </bottom>
      <diagonal/>
    </border>
    <border>
      <left/>
      <right/>
      <top style="thin">
        <color auto="1"/>
      </top>
      <bottom style="hair">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2" fillId="0" borderId="0" applyNumberFormat="0" applyFill="0" applyBorder="0" applyAlignment="0" applyProtection="0"/>
    <xf numFmtId="43" fontId="14" fillId="0" borderId="0" applyFont="0" applyFill="0" applyBorder="0" applyAlignment="0" applyProtection="0">
      <alignment vertical="center"/>
    </xf>
    <xf numFmtId="9" fontId="14" fillId="0" borderId="0" applyFont="0" applyFill="0" applyBorder="0" applyAlignment="0" applyProtection="0">
      <alignment vertical="center"/>
    </xf>
  </cellStyleXfs>
  <cellXfs count="422">
    <xf numFmtId="0" fontId="0" fillId="0" borderId="0" xfId="0"/>
    <xf numFmtId="0" fontId="3" fillId="0" borderId="0" xfId="1" applyFont="1"/>
    <xf numFmtId="0" fontId="4" fillId="0" borderId="0" xfId="0" applyFont="1"/>
    <xf numFmtId="0" fontId="6" fillId="0" borderId="0" xfId="1" applyFont="1"/>
    <xf numFmtId="176" fontId="6" fillId="0" borderId="0" xfId="1" applyNumberFormat="1" applyFont="1"/>
    <xf numFmtId="0" fontId="6" fillId="0" borderId="0" xfId="1" applyFont="1" applyFill="1"/>
    <xf numFmtId="0" fontId="7" fillId="0" borderId="0" xfId="0" applyFont="1"/>
    <xf numFmtId="0" fontId="3" fillId="0" borderId="0" xfId="1" applyFont="1" applyFill="1"/>
    <xf numFmtId="0" fontId="8" fillId="0" borderId="0" xfId="0" applyFont="1"/>
    <xf numFmtId="0" fontId="9" fillId="2" borderId="0" xfId="0" applyFont="1" applyFill="1" applyAlignment="1">
      <alignment horizontal="left"/>
    </xf>
    <xf numFmtId="0" fontId="10" fillId="3" borderId="0" xfId="0" applyFont="1" applyFill="1" applyAlignment="1">
      <alignment horizontal="center"/>
    </xf>
    <xf numFmtId="0" fontId="5" fillId="0" borderId="1" xfId="1" applyFont="1" applyBorder="1"/>
    <xf numFmtId="0" fontId="7" fillId="0" borderId="1" xfId="0" applyFont="1" applyBorder="1"/>
    <xf numFmtId="0" fontId="9" fillId="2" borderId="1" xfId="0" applyFont="1" applyFill="1" applyBorder="1" applyAlignment="1">
      <alignment horizontal="left"/>
    </xf>
    <xf numFmtId="0" fontId="12" fillId="0" borderId="0" xfId="0" applyFont="1"/>
    <xf numFmtId="0" fontId="12" fillId="0" borderId="1" xfId="0" applyFont="1" applyBorder="1"/>
    <xf numFmtId="0" fontId="7" fillId="0" borderId="2" xfId="0" applyFont="1" applyBorder="1"/>
    <xf numFmtId="0" fontId="11" fillId="2" borderId="3" xfId="0" applyFont="1" applyFill="1" applyBorder="1" applyAlignment="1">
      <alignment horizontal="left"/>
    </xf>
    <xf numFmtId="0" fontId="10" fillId="3" borderId="2" xfId="0" applyFont="1" applyFill="1" applyBorder="1" applyAlignment="1">
      <alignment horizontal="center"/>
    </xf>
    <xf numFmtId="0" fontId="13" fillId="0" borderId="0" xfId="0" applyFont="1"/>
    <xf numFmtId="0" fontId="12" fillId="4" borderId="0" xfId="0" applyFont="1" applyFill="1"/>
    <xf numFmtId="177" fontId="12" fillId="0" borderId="0" xfId="0" applyNumberFormat="1" applyFont="1"/>
    <xf numFmtId="177" fontId="12" fillId="4" borderId="0" xfId="0" applyNumberFormat="1" applyFont="1" applyFill="1"/>
    <xf numFmtId="177" fontId="13" fillId="0" borderId="0" xfId="0" applyNumberFormat="1" applyFont="1"/>
    <xf numFmtId="177" fontId="13" fillId="4" borderId="0" xfId="0" applyNumberFormat="1" applyFont="1" applyFill="1"/>
    <xf numFmtId="0" fontId="6" fillId="0" borderId="0" xfId="1" applyFont="1" applyFill="1" applyAlignment="1"/>
    <xf numFmtId="0" fontId="15" fillId="0" borderId="0" xfId="0" applyFont="1"/>
    <xf numFmtId="176" fontId="12" fillId="4" borderId="0" xfId="0" applyNumberFormat="1" applyFont="1" applyFill="1"/>
    <xf numFmtId="0" fontId="12" fillId="0" borderId="5" xfId="0" applyFont="1" applyBorder="1"/>
    <xf numFmtId="0" fontId="12" fillId="0" borderId="4" xfId="0" applyFont="1" applyBorder="1"/>
    <xf numFmtId="0" fontId="12" fillId="4" borderId="4" xfId="0" applyFont="1" applyFill="1" applyBorder="1"/>
    <xf numFmtId="0" fontId="12" fillId="4" borderId="5" xfId="0" applyFont="1" applyFill="1" applyBorder="1"/>
    <xf numFmtId="0" fontId="12" fillId="0" borderId="7" xfId="0" applyFont="1" applyBorder="1"/>
    <xf numFmtId="0" fontId="12" fillId="0" borderId="6" xfId="0" applyFont="1" applyBorder="1"/>
    <xf numFmtId="0" fontId="12" fillId="0" borderId="3" xfId="0" applyFont="1" applyBorder="1"/>
    <xf numFmtId="0" fontId="6" fillId="0" borderId="2" xfId="0" applyFont="1" applyBorder="1" applyAlignment="1">
      <alignment horizontal="center"/>
    </xf>
    <xf numFmtId="0" fontId="17" fillId="0" borderId="0" xfId="0" applyFont="1"/>
    <xf numFmtId="0" fontId="7" fillId="0" borderId="7" xfId="0" applyFont="1" applyBorder="1"/>
    <xf numFmtId="0" fontId="5" fillId="0" borderId="6" xfId="0" applyFont="1" applyBorder="1" applyAlignment="1">
      <alignment horizontal="left"/>
    </xf>
    <xf numFmtId="0" fontId="22" fillId="0" borderId="0" xfId="0" applyFont="1"/>
    <xf numFmtId="37" fontId="12" fillId="0" borderId="0" xfId="0" applyNumberFormat="1" applyFont="1"/>
    <xf numFmtId="0" fontId="10" fillId="2" borderId="8" xfId="1" applyFont="1" applyFill="1" applyBorder="1"/>
    <xf numFmtId="0" fontId="21" fillId="2" borderId="4" xfId="0" applyFont="1" applyFill="1" applyBorder="1"/>
    <xf numFmtId="0" fontId="6" fillId="0" borderId="4" xfId="1" applyFont="1" applyFill="1" applyBorder="1"/>
    <xf numFmtId="0" fontId="7" fillId="0" borderId="4" xfId="0" applyFont="1" applyBorder="1"/>
    <xf numFmtId="0" fontId="7" fillId="0" borderId="5" xfId="0" applyFont="1" applyBorder="1"/>
    <xf numFmtId="0" fontId="10" fillId="2" borderId="7" xfId="1" applyFont="1" applyFill="1" applyBorder="1"/>
    <xf numFmtId="0" fontId="21" fillId="2" borderId="0" xfId="0" applyFont="1" applyFill="1"/>
    <xf numFmtId="0" fontId="5" fillId="0" borderId="8" xfId="1" applyFont="1" applyBorder="1"/>
    <xf numFmtId="0" fontId="10" fillId="2" borderId="6" xfId="0" applyFont="1" applyFill="1" applyBorder="1"/>
    <xf numFmtId="0" fontId="7" fillId="0" borderId="3" xfId="0" applyFont="1" applyBorder="1"/>
    <xf numFmtId="0" fontId="25" fillId="0" borderId="0" xfId="0" applyFont="1"/>
    <xf numFmtId="0" fontId="26" fillId="0" borderId="0" xfId="0" applyFont="1"/>
    <xf numFmtId="0" fontId="25" fillId="0" borderId="1" xfId="0" applyFont="1" applyBorder="1"/>
    <xf numFmtId="0" fontId="27" fillId="2" borderId="0" xfId="0" applyFont="1" applyFill="1" applyAlignment="1">
      <alignment horizontal="left"/>
    </xf>
    <xf numFmtId="0" fontId="27" fillId="2" borderId="1" xfId="0" applyFont="1" applyFill="1" applyBorder="1" applyAlignment="1">
      <alignment horizontal="left"/>
    </xf>
    <xf numFmtId="0" fontId="28" fillId="3" borderId="0" xfId="0" applyFont="1" applyFill="1" applyAlignment="1">
      <alignment horizontal="center"/>
    </xf>
    <xf numFmtId="0" fontId="27" fillId="2" borderId="0" xfId="0" applyFont="1" applyFill="1" applyAlignment="1">
      <alignment horizontal="center"/>
    </xf>
    <xf numFmtId="0" fontId="28" fillId="0" borderId="0" xfId="0" applyFont="1" applyAlignment="1">
      <alignment horizontal="center"/>
    </xf>
    <xf numFmtId="0" fontId="25" fillId="0" borderId="2" xfId="0" applyFont="1" applyBorder="1"/>
    <xf numFmtId="0" fontId="29" fillId="2" borderId="2" xfId="0" applyFont="1" applyFill="1" applyBorder="1" applyAlignment="1">
      <alignment horizontal="left"/>
    </xf>
    <xf numFmtId="0" fontId="29" fillId="2" borderId="3" xfId="0" applyFont="1" applyFill="1" applyBorder="1" applyAlignment="1">
      <alignment horizontal="left"/>
    </xf>
    <xf numFmtId="0" fontId="28" fillId="3" borderId="2" xfId="0" applyFont="1" applyFill="1" applyBorder="1" applyAlignment="1">
      <alignment horizontal="center"/>
    </xf>
    <xf numFmtId="0" fontId="27" fillId="2" borderId="2" xfId="0" applyFont="1" applyFill="1" applyBorder="1" applyAlignment="1">
      <alignment horizontal="center"/>
    </xf>
    <xf numFmtId="0" fontId="24" fillId="0" borderId="0" xfId="1" applyFont="1" applyFill="1" applyAlignment="1">
      <alignment horizontal="left" indent="1"/>
    </xf>
    <xf numFmtId="0" fontId="30" fillId="0" borderId="0" xfId="1" applyFont="1" applyFill="1" applyAlignment="1">
      <alignment horizontal="left" indent="1"/>
    </xf>
    <xf numFmtId="0" fontId="31" fillId="0" borderId="1" xfId="0" applyFont="1" applyBorder="1"/>
    <xf numFmtId="179" fontId="31" fillId="0" borderId="0" xfId="3" applyNumberFormat="1" applyFont="1" applyAlignment="1"/>
    <xf numFmtId="9" fontId="31" fillId="4" borderId="0" xfId="3" applyFont="1" applyFill="1" applyAlignment="1"/>
    <xf numFmtId="9" fontId="31" fillId="0" borderId="0" xfId="3" applyFont="1" applyAlignment="1"/>
    <xf numFmtId="0" fontId="31" fillId="0" borderId="7" xfId="0" applyFont="1" applyBorder="1"/>
    <xf numFmtId="0" fontId="31" fillId="0" borderId="0" xfId="0" applyFont="1"/>
    <xf numFmtId="9" fontId="30" fillId="0" borderId="0" xfId="3" applyFont="1" applyAlignment="1"/>
    <xf numFmtId="177" fontId="26" fillId="0" borderId="0" xfId="0" applyNumberFormat="1" applyFont="1"/>
    <xf numFmtId="177" fontId="26" fillId="4" borderId="0" xfId="0" applyNumberFormat="1" applyFont="1" applyFill="1"/>
    <xf numFmtId="0" fontId="25" fillId="4" borderId="0" xfId="0" applyFont="1" applyFill="1"/>
    <xf numFmtId="0" fontId="26" fillId="0" borderId="1" xfId="0" applyFont="1" applyBorder="1"/>
    <xf numFmtId="179" fontId="31" fillId="4" borderId="0" xfId="3" applyNumberFormat="1" applyFont="1" applyFill="1" applyAlignment="1"/>
    <xf numFmtId="177" fontId="36" fillId="0" borderId="0" xfId="0" applyNumberFormat="1" applyFont="1"/>
    <xf numFmtId="184" fontId="24" fillId="0" borderId="0" xfId="0" applyNumberFormat="1" applyFont="1" applyAlignment="1">
      <alignment horizontal="right"/>
    </xf>
    <xf numFmtId="0" fontId="26" fillId="4" borderId="0" xfId="0" applyFont="1" applyFill="1"/>
    <xf numFmtId="0" fontId="27" fillId="0" borderId="0" xfId="0" applyFont="1" applyAlignment="1">
      <alignment horizontal="center"/>
    </xf>
    <xf numFmtId="0" fontId="28" fillId="0" borderId="0" xfId="0" applyFont="1"/>
    <xf numFmtId="0" fontId="27" fillId="0" borderId="2" xfId="0" applyFont="1" applyBorder="1" applyAlignment="1">
      <alignment horizontal="center"/>
    </xf>
    <xf numFmtId="0" fontId="28" fillId="0" borderId="2" xfId="0" applyFont="1" applyBorder="1"/>
    <xf numFmtId="182" fontId="31" fillId="0" borderId="0" xfId="3" applyNumberFormat="1" applyFont="1" applyAlignment="1"/>
    <xf numFmtId="182" fontId="31" fillId="4" borderId="0" xfId="3" applyNumberFormat="1" applyFont="1" applyFill="1" applyAlignment="1"/>
    <xf numFmtId="9" fontId="31" fillId="0" borderId="0" xfId="3" applyFont="1" applyFill="1" applyAlignment="1"/>
    <xf numFmtId="0" fontId="37" fillId="0" borderId="0" xfId="0" applyFont="1"/>
    <xf numFmtId="178" fontId="26" fillId="0" borderId="0" xfId="0" applyNumberFormat="1" applyFont="1"/>
    <xf numFmtId="0" fontId="38" fillId="0" borderId="0" xfId="0" applyFont="1"/>
    <xf numFmtId="0" fontId="31" fillId="4" borderId="0" xfId="0" applyFont="1" applyFill="1"/>
    <xf numFmtId="9" fontId="30" fillId="4" borderId="0" xfId="3" applyFont="1" applyFill="1" applyAlignment="1"/>
    <xf numFmtId="177" fontId="25" fillId="0" borderId="0" xfId="0" applyNumberFormat="1" applyFont="1"/>
    <xf numFmtId="177" fontId="25" fillId="4" borderId="0" xfId="0" applyNumberFormat="1" applyFont="1" applyFill="1"/>
    <xf numFmtId="181" fontId="26" fillId="0" borderId="0" xfId="2" applyNumberFormat="1" applyFont="1" applyAlignment="1"/>
    <xf numFmtId="181" fontId="26" fillId="4" borderId="0" xfId="2" applyNumberFormat="1" applyFont="1" applyFill="1" applyAlignment="1"/>
    <xf numFmtId="177" fontId="34" fillId="0" borderId="0" xfId="0" applyNumberFormat="1" applyFont="1"/>
    <xf numFmtId="177" fontId="34" fillId="4" borderId="0" xfId="0" applyNumberFormat="1" applyFont="1" applyFill="1"/>
    <xf numFmtId="177" fontId="38" fillId="0" borderId="0" xfId="0" applyNumberFormat="1" applyFont="1"/>
    <xf numFmtId="176" fontId="26" fillId="0" borderId="0" xfId="0" applyNumberFormat="1" applyFont="1"/>
    <xf numFmtId="176" fontId="26" fillId="4" borderId="0" xfId="0" applyNumberFormat="1" applyFont="1" applyFill="1"/>
    <xf numFmtId="176" fontId="34" fillId="0" borderId="0" xfId="0" applyNumberFormat="1" applyFont="1"/>
    <xf numFmtId="176" fontId="25" fillId="4" borderId="0" xfId="0" applyNumberFormat="1" applyFont="1" applyFill="1"/>
    <xf numFmtId="0" fontId="39" fillId="0" borderId="0" xfId="0" applyFont="1"/>
    <xf numFmtId="180" fontId="25" fillId="0" borderId="0" xfId="3" applyNumberFormat="1" applyFont="1" applyAlignment="1"/>
    <xf numFmtId="180" fontId="25" fillId="4" borderId="0" xfId="0" applyNumberFormat="1" applyFont="1" applyFill="1"/>
    <xf numFmtId="180" fontId="25" fillId="4" borderId="0" xfId="3" applyNumberFormat="1" applyFont="1" applyFill="1" applyAlignment="1"/>
    <xf numFmtId="183" fontId="23" fillId="0" borderId="7" xfId="0" applyNumberFormat="1" applyFont="1" applyBorder="1" applyAlignment="1">
      <alignment horizontal="right"/>
    </xf>
    <xf numFmtId="183" fontId="23" fillId="0" borderId="0" xfId="0" applyNumberFormat="1" applyFont="1" applyAlignment="1">
      <alignment horizontal="right"/>
    </xf>
    <xf numFmtId="183" fontId="23" fillId="4" borderId="0" xfId="0" applyNumberFormat="1" applyFont="1" applyFill="1" applyAlignment="1">
      <alignment horizontal="right"/>
    </xf>
    <xf numFmtId="0" fontId="32" fillId="0" borderId="8" xfId="0" applyFont="1" applyBorder="1"/>
    <xf numFmtId="0" fontId="24" fillId="0" borderId="5" xfId="0" applyFont="1" applyBorder="1"/>
    <xf numFmtId="0" fontId="28" fillId="0" borderId="4" xfId="0" applyFont="1" applyBorder="1" applyAlignment="1">
      <alignment horizontal="center"/>
    </xf>
    <xf numFmtId="0" fontId="28" fillId="4" borderId="4" xfId="0" applyFont="1" applyFill="1" applyBorder="1"/>
    <xf numFmtId="0" fontId="25" fillId="0" borderId="4" xfId="0" applyFont="1" applyBorder="1"/>
    <xf numFmtId="0" fontId="25" fillId="4" borderId="4" xfId="0" applyFont="1" applyFill="1" applyBorder="1"/>
    <xf numFmtId="0" fontId="25" fillId="4" borderId="5" xfId="0" applyFont="1" applyFill="1" applyBorder="1"/>
    <xf numFmtId="0" fontId="25" fillId="0" borderId="7" xfId="0" applyFont="1" applyBorder="1"/>
    <xf numFmtId="179" fontId="25" fillId="0" borderId="0" xfId="3" applyNumberFormat="1" applyFont="1" applyBorder="1" applyAlignment="1"/>
    <xf numFmtId="179" fontId="25" fillId="4" borderId="0" xfId="3" applyNumberFormat="1" applyFont="1" applyFill="1" applyBorder="1" applyAlignment="1"/>
    <xf numFmtId="0" fontId="25" fillId="4" borderId="1" xfId="0" applyFont="1" applyFill="1" applyBorder="1"/>
    <xf numFmtId="0" fontId="25" fillId="0" borderId="6" xfId="0" applyFont="1" applyBorder="1"/>
    <xf numFmtId="0" fontId="25" fillId="0" borderId="3" xfId="0" applyFont="1" applyBorder="1"/>
    <xf numFmtId="179" fontId="25" fillId="0" borderId="6" xfId="3" applyNumberFormat="1" applyFont="1" applyBorder="1" applyAlignment="1"/>
    <xf numFmtId="179" fontId="25" fillId="0" borderId="2" xfId="3" applyNumberFormat="1" applyFont="1" applyBorder="1" applyAlignment="1"/>
    <xf numFmtId="179" fontId="25" fillId="4" borderId="2" xfId="3" applyNumberFormat="1" applyFont="1" applyFill="1" applyBorder="1" applyAlignment="1"/>
    <xf numFmtId="0" fontId="25" fillId="4" borderId="2" xfId="0" applyFont="1" applyFill="1" applyBorder="1"/>
    <xf numFmtId="0" fontId="25" fillId="4" borderId="3" xfId="0" applyFont="1" applyFill="1" applyBorder="1"/>
    <xf numFmtId="177" fontId="40" fillId="0" borderId="0" xfId="0" applyNumberFormat="1" applyFont="1"/>
    <xf numFmtId="0" fontId="28" fillId="2" borderId="0" xfId="0" applyFont="1" applyFill="1"/>
    <xf numFmtId="177" fontId="24" fillId="4" borderId="0" xfId="0" applyNumberFormat="1" applyFont="1" applyFill="1"/>
    <xf numFmtId="0" fontId="32" fillId="0" borderId="7" xfId="0" applyFont="1" applyBorder="1"/>
    <xf numFmtId="0" fontId="24" fillId="0" borderId="7" xfId="0" applyFont="1" applyBorder="1"/>
    <xf numFmtId="179" fontId="31" fillId="4" borderId="0" xfId="3" applyNumberFormat="1" applyFont="1" applyFill="1" applyAlignment="1">
      <alignment horizontal="right"/>
    </xf>
    <xf numFmtId="0" fontId="31" fillId="4" borderId="0" xfId="0" applyFont="1" applyFill="1" applyAlignment="1">
      <alignment horizontal="right"/>
    </xf>
    <xf numFmtId="177" fontId="41" fillId="4" borderId="0" xfId="0" applyNumberFormat="1" applyFont="1" applyFill="1"/>
    <xf numFmtId="177" fontId="41" fillId="0" borderId="0" xfId="0" applyNumberFormat="1" applyFont="1"/>
    <xf numFmtId="177" fontId="23" fillId="4" borderId="0" xfId="0" applyNumberFormat="1" applyFont="1" applyFill="1"/>
    <xf numFmtId="179" fontId="42" fillId="0" borderId="0" xfId="3" applyNumberFormat="1" applyFont="1" applyAlignment="1"/>
    <xf numFmtId="0" fontId="26" fillId="0" borderId="7" xfId="0" applyFont="1" applyBorder="1"/>
    <xf numFmtId="177" fontId="26" fillId="4" borderId="1" xfId="0" applyNumberFormat="1" applyFont="1" applyFill="1" applyBorder="1"/>
    <xf numFmtId="0" fontId="24" fillId="0" borderId="7" xfId="1" applyFont="1" applyFill="1" applyBorder="1" applyAlignment="1">
      <alignment horizontal="left" indent="1"/>
    </xf>
    <xf numFmtId="37" fontId="34" fillId="0" borderId="0" xfId="0" applyNumberFormat="1" applyFont="1"/>
    <xf numFmtId="37" fontId="24" fillId="4" borderId="0" xfId="0" applyNumberFormat="1" applyFont="1" applyFill="1"/>
    <xf numFmtId="37" fontId="24" fillId="0" borderId="0" xfId="0" applyNumberFormat="1" applyFont="1"/>
    <xf numFmtId="37" fontId="24" fillId="4" borderId="1" xfId="0" applyNumberFormat="1" applyFont="1" applyFill="1" applyBorder="1"/>
    <xf numFmtId="0" fontId="30" fillId="0" borderId="7" xfId="1" applyFont="1" applyFill="1" applyBorder="1" applyAlignment="1">
      <alignment horizontal="left" indent="1"/>
    </xf>
    <xf numFmtId="179" fontId="31" fillId="4" borderId="0" xfId="3" applyNumberFormat="1" applyFont="1" applyFill="1" applyBorder="1" applyAlignment="1"/>
    <xf numFmtId="179" fontId="31" fillId="0" borderId="0" xfId="3" applyNumberFormat="1" applyFont="1" applyBorder="1" applyAlignment="1"/>
    <xf numFmtId="179" fontId="35" fillId="5" borderId="0" xfId="3" applyNumberFormat="1" applyFont="1" applyFill="1" applyBorder="1" applyAlignment="1"/>
    <xf numFmtId="179" fontId="31" fillId="4" borderId="1" xfId="3" applyNumberFormat="1" applyFont="1" applyFill="1" applyBorder="1" applyAlignment="1"/>
    <xf numFmtId="184" fontId="24" fillId="4" borderId="1" xfId="0" applyNumberFormat="1" applyFont="1" applyFill="1" applyBorder="1" applyAlignment="1">
      <alignment horizontal="right"/>
    </xf>
    <xf numFmtId="37" fontId="25" fillId="0" borderId="0" xfId="0" applyNumberFormat="1" applyFont="1"/>
    <xf numFmtId="37" fontId="25" fillId="4" borderId="0" xfId="0" applyNumberFormat="1" applyFont="1" applyFill="1"/>
    <xf numFmtId="37" fontId="25" fillId="4" borderId="1" xfId="0" applyNumberFormat="1" applyFont="1" applyFill="1" applyBorder="1"/>
    <xf numFmtId="179" fontId="25" fillId="0" borderId="0" xfId="0" applyNumberFormat="1" applyFont="1"/>
    <xf numFmtId="0" fontId="30" fillId="0" borderId="6" xfId="1" applyFont="1" applyFill="1" applyBorder="1" applyAlignment="1">
      <alignment horizontal="left" indent="1"/>
    </xf>
    <xf numFmtId="0" fontId="43" fillId="0" borderId="0" xfId="0" applyFont="1"/>
    <xf numFmtId="0" fontId="27" fillId="2" borderId="8" xfId="0" applyFont="1" applyFill="1" applyBorder="1" applyAlignment="1">
      <alignment horizontal="left"/>
    </xf>
    <xf numFmtId="0" fontId="27" fillId="2" borderId="5" xfId="0" applyFont="1" applyFill="1" applyBorder="1" applyAlignment="1">
      <alignment horizontal="left"/>
    </xf>
    <xf numFmtId="0" fontId="27" fillId="2" borderId="4" xfId="0" applyFont="1" applyFill="1" applyBorder="1" applyAlignment="1">
      <alignment horizontal="center"/>
    </xf>
    <xf numFmtId="0" fontId="28" fillId="2" borderId="2" xfId="0" applyFont="1" applyFill="1" applyBorder="1" applyAlignment="1">
      <alignment horizontal="center"/>
    </xf>
    <xf numFmtId="0" fontId="25" fillId="0" borderId="5" xfId="0" applyFont="1" applyBorder="1"/>
    <xf numFmtId="0" fontId="43" fillId="0" borderId="8" xfId="0" applyFont="1" applyBorder="1"/>
    <xf numFmtId="179" fontId="31" fillId="0" borderId="2" xfId="3" applyNumberFormat="1" applyFont="1" applyBorder="1" applyAlignment="1"/>
    <xf numFmtId="179" fontId="31" fillId="4" borderId="2" xfId="3" applyNumberFormat="1" applyFont="1" applyFill="1" applyBorder="1" applyAlignment="1"/>
    <xf numFmtId="179" fontId="35" fillId="0" borderId="0" xfId="3" applyNumberFormat="1" applyFont="1" applyBorder="1" applyAlignment="1"/>
    <xf numFmtId="179" fontId="35" fillId="0" borderId="2" xfId="3" applyNumberFormat="1" applyFont="1" applyBorder="1" applyAlignment="1"/>
    <xf numFmtId="0" fontId="27" fillId="2" borderId="1" xfId="0" applyFont="1" applyFill="1" applyBorder="1" applyAlignment="1">
      <alignment horizontal="center"/>
    </xf>
    <xf numFmtId="0" fontId="27" fillId="2" borderId="3" xfId="0" applyFont="1" applyFill="1" applyBorder="1" applyAlignment="1">
      <alignment horizontal="center"/>
    </xf>
    <xf numFmtId="179" fontId="31" fillId="4" borderId="3" xfId="3" applyNumberFormat="1" applyFont="1" applyFill="1" applyBorder="1" applyAlignment="1"/>
    <xf numFmtId="9" fontId="25" fillId="4" borderId="0" xfId="3" applyFont="1" applyFill="1" applyAlignment="1"/>
    <xf numFmtId="179" fontId="25" fillId="4" borderId="0" xfId="3" applyNumberFormat="1" applyFont="1" applyFill="1" applyAlignment="1"/>
    <xf numFmtId="10" fontId="25" fillId="4" borderId="0" xfId="3" applyNumberFormat="1" applyFont="1" applyFill="1" applyAlignment="1"/>
    <xf numFmtId="0" fontId="30" fillId="0" borderId="0" xfId="1" applyFont="1" applyFill="1" applyBorder="1" applyAlignment="1">
      <alignment horizontal="left" indent="1"/>
    </xf>
    <xf numFmtId="0" fontId="23" fillId="0" borderId="7" xfId="1" applyFont="1" applyFill="1" applyBorder="1" applyAlignment="1">
      <alignment horizontal="left" indent="1"/>
    </xf>
    <xf numFmtId="0" fontId="43" fillId="0" borderId="7" xfId="0" applyFont="1" applyBorder="1"/>
    <xf numFmtId="0" fontId="32" fillId="6" borderId="8" xfId="0" applyFont="1" applyFill="1" applyBorder="1"/>
    <xf numFmtId="0" fontId="34" fillId="0" borderId="0" xfId="0" applyFont="1"/>
    <xf numFmtId="179" fontId="30" fillId="0" borderId="0" xfId="3" applyNumberFormat="1" applyFont="1" applyAlignment="1"/>
    <xf numFmtId="179" fontId="30" fillId="4" borderId="0" xfId="3" applyNumberFormat="1" applyFont="1" applyFill="1" applyAlignment="1"/>
    <xf numFmtId="179" fontId="25" fillId="4" borderId="1" xfId="3" applyNumberFormat="1" applyFont="1" applyFill="1" applyBorder="1" applyAlignment="1"/>
    <xf numFmtId="177" fontId="36" fillId="4" borderId="0" xfId="0" applyNumberFormat="1" applyFont="1" applyFill="1"/>
    <xf numFmtId="178" fontId="25" fillId="4" borderId="0" xfId="0" applyNumberFormat="1" applyFont="1" applyFill="1"/>
    <xf numFmtId="185" fontId="25" fillId="4" borderId="0" xfId="0" applyNumberFormat="1" applyFont="1" applyFill="1"/>
    <xf numFmtId="179" fontId="34" fillId="0" borderId="0" xfId="3" applyNumberFormat="1" applyFont="1" applyBorder="1" applyAlignment="1"/>
    <xf numFmtId="179" fontId="24" fillId="4" borderId="0" xfId="3" applyNumberFormat="1" applyFont="1" applyFill="1" applyBorder="1" applyAlignment="1"/>
    <xf numFmtId="185" fontId="25" fillId="0" borderId="0" xfId="0" applyNumberFormat="1" applyFont="1"/>
    <xf numFmtId="0" fontId="24" fillId="0" borderId="0" xfId="1" applyFont="1" applyFill="1" applyBorder="1" applyAlignment="1">
      <alignment horizontal="left" indent="1"/>
    </xf>
    <xf numFmtId="179" fontId="35" fillId="4" borderId="0" xfId="3" applyNumberFormat="1" applyFont="1" applyFill="1" applyBorder="1" applyAlignment="1"/>
    <xf numFmtId="179" fontId="30" fillId="0" borderId="0" xfId="3" applyNumberFormat="1" applyFont="1" applyFill="1" applyAlignment="1"/>
    <xf numFmtId="0" fontId="30" fillId="0" borderId="2" xfId="1" applyFont="1" applyFill="1" applyBorder="1" applyAlignment="1">
      <alignment horizontal="left" indent="1"/>
    </xf>
    <xf numFmtId="179" fontId="34" fillId="0" borderId="0" xfId="3" applyNumberFormat="1" applyFont="1" applyFill="1" applyBorder="1" applyAlignment="1"/>
    <xf numFmtId="179" fontId="35" fillId="0" borderId="0" xfId="3" applyNumberFormat="1" applyFont="1" applyFill="1" applyBorder="1" applyAlignment="1"/>
    <xf numFmtId="179" fontId="35" fillId="0" borderId="0" xfId="0" applyNumberFormat="1" applyFont="1"/>
    <xf numFmtId="9" fontId="25" fillId="0" borderId="0" xfId="3" applyFont="1" applyAlignment="1"/>
    <xf numFmtId="179" fontId="25" fillId="0" borderId="0" xfId="3" applyNumberFormat="1" applyFont="1" applyAlignment="1"/>
    <xf numFmtId="0" fontId="30" fillId="0" borderId="0" xfId="0" applyFont="1" applyAlignment="1">
      <alignment horizontal="left"/>
    </xf>
    <xf numFmtId="0" fontId="30" fillId="0" borderId="7" xfId="0" applyFont="1" applyBorder="1" applyAlignment="1">
      <alignment horizontal="left"/>
    </xf>
    <xf numFmtId="0" fontId="24" fillId="0" borderId="0" xfId="0" applyFont="1" applyAlignment="1">
      <alignment horizontal="center"/>
    </xf>
    <xf numFmtId="0" fontId="24" fillId="0" borderId="0" xfId="0" applyFont="1"/>
    <xf numFmtId="0" fontId="34" fillId="0" borderId="7" xfId="0" applyFont="1" applyBorder="1"/>
    <xf numFmtId="0" fontId="41" fillId="0" borderId="7" xfId="0" applyFont="1" applyBorder="1"/>
    <xf numFmtId="0" fontId="38" fillId="0" borderId="7" xfId="0" applyFont="1" applyBorder="1"/>
    <xf numFmtId="0" fontId="23" fillId="0" borderId="0" xfId="0" applyFont="1"/>
    <xf numFmtId="0" fontId="24" fillId="0" borderId="2" xfId="0" applyFont="1" applyBorder="1"/>
    <xf numFmtId="0" fontId="24" fillId="0" borderId="6" xfId="0" applyFont="1" applyBorder="1"/>
    <xf numFmtId="0" fontId="5" fillId="0" borderId="7" xfId="0" applyFont="1" applyBorder="1"/>
    <xf numFmtId="186" fontId="24" fillId="0" borderId="7" xfId="0" applyNumberFormat="1" applyFont="1" applyBorder="1" applyAlignment="1">
      <alignment horizontal="right"/>
    </xf>
    <xf numFmtId="186" fontId="24" fillId="0" borderId="0" xfId="0" applyNumberFormat="1" applyFont="1" applyAlignment="1">
      <alignment horizontal="right"/>
    </xf>
    <xf numFmtId="186" fontId="24" fillId="4" borderId="0" xfId="0" applyNumberFormat="1" applyFont="1" applyFill="1" applyAlignment="1">
      <alignment horizontal="right"/>
    </xf>
    <xf numFmtId="186" fontId="24" fillId="4" borderId="1" xfId="0" applyNumberFormat="1" applyFont="1" applyFill="1" applyBorder="1" applyAlignment="1">
      <alignment horizontal="right"/>
    </xf>
    <xf numFmtId="186" fontId="25" fillId="0" borderId="0" xfId="0" applyNumberFormat="1" applyFont="1"/>
    <xf numFmtId="186" fontId="25" fillId="4" borderId="0" xfId="0" applyNumberFormat="1" applyFont="1" applyFill="1"/>
    <xf numFmtId="186" fontId="12" fillId="0" borderId="0" xfId="0" applyNumberFormat="1" applyFont="1"/>
    <xf numFmtId="0" fontId="34" fillId="0" borderId="1" xfId="0" applyFont="1" applyBorder="1"/>
    <xf numFmtId="179" fontId="35" fillId="4" borderId="1" xfId="3" applyNumberFormat="1" applyFont="1" applyFill="1" applyBorder="1" applyAlignment="1"/>
    <xf numFmtId="187" fontId="25" fillId="0" borderId="0" xfId="0" applyNumberFormat="1" applyFont="1"/>
    <xf numFmtId="9" fontId="38" fillId="0" borderId="0" xfId="3" applyFont="1" applyAlignment="1"/>
    <xf numFmtId="0" fontId="27" fillId="2" borderId="7" xfId="0" applyFont="1" applyFill="1" applyBorder="1" applyAlignment="1">
      <alignment horizontal="left"/>
    </xf>
    <xf numFmtId="0" fontId="29" fillId="2" borderId="6" xfId="0" applyFont="1" applyFill="1" applyBorder="1" applyAlignment="1">
      <alignment horizontal="left"/>
    </xf>
    <xf numFmtId="0" fontId="24" fillId="0" borderId="4" xfId="1" applyFont="1" applyFill="1" applyBorder="1" applyAlignment="1">
      <alignment horizontal="left" indent="1"/>
    </xf>
    <xf numFmtId="0" fontId="24" fillId="0" borderId="0" xfId="0" applyFont="1" applyAlignment="1">
      <alignment horizontal="left" indent="1"/>
    </xf>
    <xf numFmtId="176" fontId="34" fillId="0" borderId="7" xfId="0" applyNumberFormat="1" applyFont="1" applyBorder="1"/>
    <xf numFmtId="188" fontId="34" fillId="0" borderId="7" xfId="0" applyNumberFormat="1" applyFont="1" applyBorder="1"/>
    <xf numFmtId="188" fontId="34" fillId="0" borderId="0" xfId="0" applyNumberFormat="1" applyFont="1"/>
    <xf numFmtId="188" fontId="24" fillId="0" borderId="0" xfId="0" applyNumberFormat="1" applyFont="1"/>
    <xf numFmtId="176" fontId="24" fillId="0" borderId="0" xfId="0" applyNumberFormat="1" applyFont="1"/>
    <xf numFmtId="0" fontId="32" fillId="0" borderId="4" xfId="0" applyFont="1" applyBorder="1"/>
    <xf numFmtId="0" fontId="32" fillId="0" borderId="0" xfId="0" applyFont="1"/>
    <xf numFmtId="188" fontId="25" fillId="0" borderId="0" xfId="0" applyNumberFormat="1" applyFont="1"/>
    <xf numFmtId="185" fontId="26" fillId="0" borderId="0" xfId="0" applyNumberFormat="1" applyFont="1"/>
    <xf numFmtId="188" fontId="24" fillId="4" borderId="0" xfId="0" applyNumberFormat="1" applyFont="1" applyFill="1"/>
    <xf numFmtId="189" fontId="24" fillId="0" borderId="0" xfId="0" applyNumberFormat="1" applyFont="1"/>
    <xf numFmtId="177" fontId="39" fillId="0" borderId="0" xfId="0" applyNumberFormat="1" applyFont="1"/>
    <xf numFmtId="176" fontId="25" fillId="0" borderId="0" xfId="0" applyNumberFormat="1" applyFont="1"/>
    <xf numFmtId="189" fontId="24" fillId="4" borderId="0" xfId="0" applyNumberFormat="1" applyFont="1" applyFill="1"/>
    <xf numFmtId="0" fontId="6" fillId="0" borderId="0" xfId="1" applyFont="1" applyAlignment="1"/>
    <xf numFmtId="181" fontId="34" fillId="0" borderId="0" xfId="2" applyNumberFormat="1" applyFont="1" applyBorder="1" applyAlignment="1"/>
    <xf numFmtId="0" fontId="27" fillId="2" borderId="4" xfId="0" applyFont="1" applyFill="1" applyBorder="1"/>
    <xf numFmtId="0" fontId="25" fillId="2" borderId="1" xfId="0" applyFont="1" applyFill="1" applyBorder="1"/>
    <xf numFmtId="0" fontId="25" fillId="2" borderId="3" xfId="0" applyFont="1" applyFill="1" applyBorder="1"/>
    <xf numFmtId="190" fontId="34" fillId="0" borderId="0" xfId="0" applyNumberFormat="1" applyFont="1"/>
    <xf numFmtId="0" fontId="34" fillId="0" borderId="11" xfId="0" applyFont="1" applyBorder="1" applyAlignment="1">
      <alignment horizontal="left"/>
    </xf>
    <xf numFmtId="0" fontId="34" fillId="0" borderId="10" xfId="0" applyFont="1" applyBorder="1" applyAlignment="1">
      <alignment horizontal="left"/>
    </xf>
    <xf numFmtId="181" fontId="34" fillId="0" borderId="11" xfId="2" applyNumberFormat="1" applyFont="1" applyBorder="1" applyAlignment="1"/>
    <xf numFmtId="190" fontId="34" fillId="0" borderId="11" xfId="0" applyNumberFormat="1" applyFont="1" applyBorder="1"/>
    <xf numFmtId="0" fontId="34" fillId="0" borderId="11" xfId="0" applyFont="1" applyBorder="1"/>
    <xf numFmtId="179" fontId="34" fillId="0" borderId="11" xfId="3" applyNumberFormat="1" applyFont="1" applyBorder="1" applyAlignment="1"/>
    <xf numFmtId="0" fontId="27" fillId="2" borderId="4" xfId="0" applyFont="1" applyFill="1" applyBorder="1" applyAlignment="1">
      <alignment horizontal="right"/>
    </xf>
    <xf numFmtId="0" fontId="28" fillId="2" borderId="2" xfId="0" applyFont="1" applyFill="1" applyBorder="1" applyAlignment="1">
      <alignment horizontal="right"/>
    </xf>
    <xf numFmtId="0" fontId="28" fillId="2" borderId="3" xfId="0" applyFont="1" applyFill="1" applyBorder="1" applyAlignment="1">
      <alignment horizontal="right"/>
    </xf>
    <xf numFmtId="0" fontId="26" fillId="4" borderId="7" xfId="0" applyFont="1" applyFill="1" applyBorder="1" applyAlignment="1">
      <alignment horizontal="left"/>
    </xf>
    <xf numFmtId="0" fontId="26" fillId="4" borderId="6" xfId="0" applyFont="1" applyFill="1" applyBorder="1" applyAlignment="1">
      <alignment horizontal="left"/>
    </xf>
    <xf numFmtId="179" fontId="25" fillId="0" borderId="0" xfId="3" applyNumberFormat="1" applyFont="1" applyFill="1" applyBorder="1" applyAlignment="1"/>
    <xf numFmtId="177" fontId="24" fillId="0" borderId="0" xfId="0" applyNumberFormat="1" applyFont="1"/>
    <xf numFmtId="179" fontId="25" fillId="4" borderId="3" xfId="3" applyNumberFormat="1" applyFont="1" applyFill="1" applyBorder="1" applyAlignment="1"/>
    <xf numFmtId="9" fontId="12" fillId="0" borderId="0" xfId="3" applyFont="1" applyFill="1" applyAlignment="1"/>
    <xf numFmtId="0" fontId="28" fillId="2" borderId="0" xfId="0" applyFont="1" applyFill="1" applyAlignment="1">
      <alignment horizontal="center"/>
    </xf>
    <xf numFmtId="181" fontId="24" fillId="4" borderId="7" xfId="2" applyNumberFormat="1" applyFont="1" applyFill="1" applyBorder="1" applyAlignment="1"/>
    <xf numFmtId="190" fontId="24" fillId="4" borderId="0" xfId="0" applyNumberFormat="1" applyFont="1" applyFill="1"/>
    <xf numFmtId="0" fontId="24" fillId="4" borderId="0" xfId="0" applyFont="1" applyFill="1"/>
    <xf numFmtId="181" fontId="24" fillId="4" borderId="6" xfId="2" applyNumberFormat="1" applyFont="1" applyFill="1" applyBorder="1" applyAlignment="1"/>
    <xf numFmtId="190" fontId="24" fillId="4" borderId="2" xfId="0" applyNumberFormat="1" applyFont="1" applyFill="1" applyBorder="1"/>
    <xf numFmtId="0" fontId="24" fillId="4" borderId="2" xfId="0" applyFont="1" applyFill="1" applyBorder="1"/>
    <xf numFmtId="179" fontId="24" fillId="4" borderId="2" xfId="3" applyNumberFormat="1" applyFont="1" applyFill="1" applyBorder="1" applyAlignment="1"/>
    <xf numFmtId="189" fontId="24" fillId="4" borderId="1" xfId="0" applyNumberFormat="1" applyFont="1" applyFill="1" applyBorder="1"/>
    <xf numFmtId="0" fontId="38" fillId="0" borderId="1" xfId="0" applyFont="1" applyBorder="1"/>
    <xf numFmtId="0" fontId="36" fillId="0" borderId="0" xfId="0" applyFont="1"/>
    <xf numFmtId="9" fontId="25" fillId="0" borderId="0" xfId="3" applyFont="1" applyFill="1" applyBorder="1" applyAlignment="1"/>
    <xf numFmtId="0" fontId="28" fillId="2" borderId="5" xfId="0" applyFont="1" applyFill="1" applyBorder="1"/>
    <xf numFmtId="0" fontId="27" fillId="2" borderId="8" xfId="0" applyFont="1" applyFill="1" applyBorder="1"/>
    <xf numFmtId="0" fontId="12" fillId="0" borderId="0" xfId="0" applyFont="1" applyAlignment="1">
      <alignment horizontal="center"/>
    </xf>
    <xf numFmtId="0" fontId="25" fillId="2" borderId="4" xfId="0" applyFont="1" applyFill="1" applyBorder="1"/>
    <xf numFmtId="0" fontId="25" fillId="2" borderId="5" xfId="0" applyFont="1" applyFill="1" applyBorder="1"/>
    <xf numFmtId="177" fontId="41" fillId="0" borderId="4" xfId="0" applyNumberFormat="1" applyFont="1" applyBorder="1"/>
    <xf numFmtId="190" fontId="36" fillId="0" borderId="0" xfId="0" applyNumberFormat="1" applyFont="1"/>
    <xf numFmtId="0" fontId="16" fillId="2" borderId="9" xfId="0" applyFont="1" applyFill="1" applyBorder="1"/>
    <xf numFmtId="0" fontId="26" fillId="0" borderId="13" xfId="0" applyFont="1" applyBorder="1"/>
    <xf numFmtId="0" fontId="25" fillId="0" borderId="12" xfId="0" applyFont="1" applyBorder="1"/>
    <xf numFmtId="177" fontId="23" fillId="0" borderId="12" xfId="0" applyNumberFormat="1" applyFont="1" applyBorder="1"/>
    <xf numFmtId="9" fontId="25" fillId="4" borderId="0" xfId="3" applyFont="1" applyFill="1" applyBorder="1" applyAlignment="1"/>
    <xf numFmtId="0" fontId="25" fillId="0" borderId="9" xfId="0" applyFont="1" applyBorder="1"/>
    <xf numFmtId="9" fontId="25" fillId="0" borderId="0" xfId="3" applyFont="1" applyBorder="1" applyAlignment="1"/>
    <xf numFmtId="189" fontId="25" fillId="0" borderId="0" xfId="0" applyNumberFormat="1" applyFont="1"/>
    <xf numFmtId="177" fontId="23" fillId="0" borderId="0" xfId="0" applyNumberFormat="1" applyFont="1"/>
    <xf numFmtId="9" fontId="25" fillId="4" borderId="1" xfId="3" applyFont="1" applyFill="1" applyBorder="1" applyAlignment="1"/>
    <xf numFmtId="189" fontId="25" fillId="0" borderId="2" xfId="0" applyNumberFormat="1" applyFont="1" applyBorder="1"/>
    <xf numFmtId="189" fontId="25" fillId="4" borderId="2" xfId="0" applyNumberFormat="1" applyFont="1" applyFill="1" applyBorder="1"/>
    <xf numFmtId="189" fontId="34" fillId="0" borderId="2" xfId="0" applyNumberFormat="1" applyFont="1" applyBorder="1"/>
    <xf numFmtId="176" fontId="24" fillId="0" borderId="0" xfId="1" applyNumberFormat="1" applyFont="1" applyFill="1"/>
    <xf numFmtId="176" fontId="24" fillId="4" borderId="0" xfId="1" applyNumberFormat="1" applyFont="1" applyFill="1"/>
    <xf numFmtId="176" fontId="41" fillId="0" borderId="0" xfId="1" applyNumberFormat="1" applyFont="1" applyFill="1"/>
    <xf numFmtId="176" fontId="41" fillId="4" borderId="0" xfId="1" applyNumberFormat="1" applyFont="1" applyFill="1"/>
    <xf numFmtId="188" fontId="41" fillId="0" borderId="0" xfId="0" applyNumberFormat="1" applyFont="1"/>
    <xf numFmtId="188" fontId="41" fillId="4" borderId="0" xfId="0" applyNumberFormat="1" applyFont="1" applyFill="1"/>
    <xf numFmtId="188" fontId="24" fillId="4" borderId="1" xfId="0" applyNumberFormat="1" applyFont="1" applyFill="1" applyBorder="1"/>
    <xf numFmtId="176" fontId="25" fillId="4" borderId="0" xfId="1" applyNumberFormat="1" applyFont="1" applyFill="1"/>
    <xf numFmtId="176" fontId="34" fillId="0" borderId="0" xfId="1" applyNumberFormat="1" applyFont="1" applyFill="1"/>
    <xf numFmtId="176" fontId="23" fillId="0" borderId="0" xfId="1" applyNumberFormat="1" applyFont="1" applyFill="1"/>
    <xf numFmtId="177" fontId="34" fillId="0" borderId="0" xfId="1" applyNumberFormat="1" applyFont="1" applyFill="1"/>
    <xf numFmtId="176" fontId="44" fillId="0" borderId="0" xfId="1" applyNumberFormat="1" applyFont="1" applyFill="1"/>
    <xf numFmtId="176" fontId="41" fillId="6" borderId="7" xfId="0" applyNumberFormat="1" applyFont="1" applyFill="1" applyBorder="1"/>
    <xf numFmtId="176" fontId="41" fillId="6" borderId="0" xfId="0" applyNumberFormat="1" applyFont="1" applyFill="1"/>
    <xf numFmtId="176" fontId="41" fillId="0" borderId="0" xfId="0" applyNumberFormat="1" applyFont="1"/>
    <xf numFmtId="176" fontId="26" fillId="0" borderId="0" xfId="1" applyNumberFormat="1" applyFont="1" applyFill="1"/>
    <xf numFmtId="178" fontId="37" fillId="0" borderId="0" xfId="0" applyNumberFormat="1" applyFont="1"/>
    <xf numFmtId="178" fontId="37" fillId="4" borderId="0" xfId="0" applyNumberFormat="1" applyFont="1" applyFill="1"/>
    <xf numFmtId="176" fontId="24" fillId="4" borderId="0" xfId="0" applyNumberFormat="1" applyFont="1" applyFill="1"/>
    <xf numFmtId="177" fontId="41" fillId="6" borderId="0" xfId="0" applyNumberFormat="1" applyFont="1" applyFill="1"/>
    <xf numFmtId="9" fontId="34" fillId="4" borderId="0" xfId="3" applyFont="1" applyFill="1" applyBorder="1" applyAlignment="1">
      <alignment vertical="center"/>
    </xf>
    <xf numFmtId="179" fontId="34" fillId="4" borderId="0" xfId="0" applyNumberFormat="1" applyFont="1" applyFill="1"/>
    <xf numFmtId="191" fontId="12" fillId="0" borderId="0" xfId="0" applyNumberFormat="1" applyFont="1"/>
    <xf numFmtId="9" fontId="12" fillId="0" borderId="0" xfId="3" applyFont="1" applyAlignment="1"/>
    <xf numFmtId="179" fontId="31" fillId="0" borderId="0" xfId="3" applyNumberFormat="1" applyFont="1" applyFill="1" applyBorder="1" applyAlignment="1"/>
    <xf numFmtId="37" fontId="24" fillId="0" borderId="8" xfId="0" applyNumberFormat="1" applyFont="1" applyBorder="1"/>
    <xf numFmtId="37" fontId="24" fillId="0" borderId="4" xfId="0" applyNumberFormat="1" applyFont="1" applyBorder="1"/>
    <xf numFmtId="37" fontId="24" fillId="0" borderId="5" xfId="0" applyNumberFormat="1" applyFont="1" applyBorder="1"/>
    <xf numFmtId="179" fontId="35" fillId="0" borderId="7" xfId="0" applyNumberFormat="1" applyFont="1" applyBorder="1"/>
    <xf numFmtId="179" fontId="35" fillId="0" borderId="1" xfId="0" applyNumberFormat="1" applyFont="1" applyBorder="1"/>
    <xf numFmtId="186" fontId="24" fillId="0" borderId="1" xfId="0" applyNumberFormat="1" applyFont="1" applyBorder="1" applyAlignment="1">
      <alignment horizontal="right"/>
    </xf>
    <xf numFmtId="177" fontId="26" fillId="0" borderId="7" xfId="0" applyNumberFormat="1" applyFont="1" applyBorder="1"/>
    <xf numFmtId="177" fontId="26" fillId="0" borderId="1" xfId="0" applyNumberFormat="1" applyFont="1" applyBorder="1"/>
    <xf numFmtId="37" fontId="24" fillId="0" borderId="7" xfId="0" applyNumberFormat="1" applyFont="1" applyBorder="1"/>
    <xf numFmtId="37" fontId="24" fillId="0" borderId="1" xfId="0" applyNumberFormat="1" applyFont="1" applyBorder="1"/>
    <xf numFmtId="179" fontId="35" fillId="0" borderId="6" xfId="0" applyNumberFormat="1" applyFont="1" applyBorder="1"/>
    <xf numFmtId="179" fontId="35" fillId="0" borderId="2" xfId="0" applyNumberFormat="1" applyFont="1" applyBorder="1"/>
    <xf numFmtId="179" fontId="35" fillId="0" borderId="3" xfId="0" applyNumberFormat="1" applyFont="1" applyBorder="1"/>
    <xf numFmtId="9" fontId="35" fillId="0" borderId="7" xfId="3" applyFont="1" applyBorder="1" applyAlignment="1"/>
    <xf numFmtId="179" fontId="35" fillId="0" borderId="7" xfId="3" applyNumberFormat="1" applyFont="1" applyBorder="1" applyAlignment="1"/>
    <xf numFmtId="177" fontId="36" fillId="0" borderId="7" xfId="0" applyNumberFormat="1" applyFont="1" applyBorder="1"/>
    <xf numFmtId="37" fontId="34" fillId="0" borderId="7" xfId="0" applyNumberFormat="1" applyFont="1" applyBorder="1"/>
    <xf numFmtId="9" fontId="34" fillId="0" borderId="7" xfId="3" applyFont="1" applyBorder="1" applyAlignment="1"/>
    <xf numFmtId="186" fontId="34" fillId="0" borderId="0" xfId="0" applyNumberFormat="1" applyFont="1"/>
    <xf numFmtId="177" fontId="23" fillId="4" borderId="0" xfId="0" applyNumberFormat="1" applyFont="1" applyFill="1" applyAlignment="1">
      <alignment vertical="center"/>
    </xf>
    <xf numFmtId="177" fontId="23" fillId="0" borderId="0" xfId="0" applyNumberFormat="1" applyFont="1" applyAlignment="1">
      <alignment vertical="center"/>
    </xf>
    <xf numFmtId="9" fontId="25" fillId="0" borderId="0" xfId="0" applyNumberFormat="1" applyFont="1"/>
    <xf numFmtId="179" fontId="25" fillId="4" borderId="0" xfId="0" applyNumberFormat="1" applyFont="1" applyFill="1"/>
    <xf numFmtId="179" fontId="34" fillId="4" borderId="1" xfId="0" applyNumberFormat="1" applyFont="1" applyFill="1" applyBorder="1"/>
    <xf numFmtId="179" fontId="24" fillId="4" borderId="0" xfId="0" applyNumberFormat="1" applyFont="1" applyFill="1"/>
    <xf numFmtId="186" fontId="34" fillId="4" borderId="0" xfId="0" applyNumberFormat="1" applyFont="1" applyFill="1"/>
    <xf numFmtId="186" fontId="34" fillId="4" borderId="1" xfId="0" applyNumberFormat="1" applyFont="1" applyFill="1" applyBorder="1"/>
    <xf numFmtId="0" fontId="23" fillId="0" borderId="6" xfId="1" applyFont="1" applyFill="1" applyBorder="1" applyAlignment="1">
      <alignment horizontal="left" indent="1"/>
    </xf>
    <xf numFmtId="177" fontId="26" fillId="0" borderId="6" xfId="0" applyNumberFormat="1" applyFont="1" applyBorder="1"/>
    <xf numFmtId="177" fontId="26" fillId="0" borderId="2" xfId="0" applyNumberFormat="1" applyFont="1" applyBorder="1"/>
    <xf numFmtId="177" fontId="26" fillId="4" borderId="2" xfId="0" applyNumberFormat="1" applyFont="1" applyFill="1" applyBorder="1"/>
    <xf numFmtId="177" fontId="26" fillId="4" borderId="3" xfId="0" applyNumberFormat="1" applyFont="1" applyFill="1" applyBorder="1"/>
    <xf numFmtId="37" fontId="38" fillId="0" borderId="0" xfId="0" applyNumberFormat="1" applyFont="1"/>
    <xf numFmtId="178" fontId="26" fillId="4" borderId="3" xfId="0" applyNumberFormat="1" applyFont="1" applyFill="1" applyBorder="1"/>
    <xf numFmtId="178" fontId="26" fillId="4" borderId="0" xfId="0" applyNumberFormat="1" applyFont="1" applyFill="1"/>
    <xf numFmtId="0" fontId="25" fillId="0" borderId="0" xfId="0" applyFont="1" applyAlignment="1">
      <alignment horizontal="right"/>
    </xf>
    <xf numFmtId="179" fontId="38" fillId="0" borderId="0" xfId="0" applyNumberFormat="1" applyFont="1"/>
    <xf numFmtId="179" fontId="39" fillId="4" borderId="12" xfId="3" applyNumberFormat="1" applyFont="1" applyFill="1" applyBorder="1" applyAlignment="1"/>
    <xf numFmtId="179" fontId="39" fillId="4" borderId="3" xfId="3" applyNumberFormat="1" applyFont="1" applyFill="1" applyBorder="1" applyAlignment="1"/>
    <xf numFmtId="37" fontId="34" fillId="4" borderId="0" xfId="0" applyNumberFormat="1" applyFont="1" applyFill="1"/>
    <xf numFmtId="0" fontId="34" fillId="4" borderId="0" xfId="0" applyFont="1" applyFill="1" applyAlignment="1">
      <alignment vertical="center"/>
    </xf>
    <xf numFmtId="0" fontId="33" fillId="6" borderId="4" xfId="0" applyFont="1" applyFill="1" applyBorder="1"/>
    <xf numFmtId="0" fontId="25" fillId="0" borderId="8" xfId="0" applyFont="1" applyBorder="1"/>
    <xf numFmtId="0" fontId="31" fillId="0" borderId="7" xfId="0" applyFont="1" applyBorder="1" applyAlignment="1">
      <alignment horizontal="right"/>
    </xf>
    <xf numFmtId="179" fontId="31" fillId="0" borderId="7" xfId="3" applyNumberFormat="1" applyFont="1" applyBorder="1" applyAlignment="1"/>
    <xf numFmtId="185" fontId="25" fillId="0" borderId="4" xfId="0" applyNumberFormat="1" applyFont="1" applyBorder="1"/>
    <xf numFmtId="0" fontId="25" fillId="0" borderId="11" xfId="0" applyFont="1" applyBorder="1"/>
    <xf numFmtId="178" fontId="26" fillId="4" borderId="7" xfId="0" applyNumberFormat="1" applyFont="1" applyFill="1" applyBorder="1"/>
    <xf numFmtId="179" fontId="39" fillId="4" borderId="16" xfId="3" applyNumberFormat="1" applyFont="1" applyFill="1" applyBorder="1" applyAlignment="1"/>
    <xf numFmtId="178" fontId="25" fillId="0" borderId="0" xfId="0" applyNumberFormat="1" applyFont="1"/>
    <xf numFmtId="0" fontId="5" fillId="0" borderId="0" xfId="1" applyFont="1" applyBorder="1"/>
    <xf numFmtId="0" fontId="25" fillId="6" borderId="4" xfId="0" applyFont="1" applyFill="1" applyBorder="1"/>
    <xf numFmtId="0" fontId="26" fillId="0" borderId="2" xfId="0" applyFont="1" applyBorder="1"/>
    <xf numFmtId="0" fontId="6" fillId="0" borderId="7" xfId="1" applyFont="1" applyBorder="1"/>
    <xf numFmtId="0" fontId="28" fillId="3" borderId="7" xfId="0" applyFont="1" applyFill="1" applyBorder="1" applyAlignment="1">
      <alignment horizontal="center"/>
    </xf>
    <xf numFmtId="0" fontId="28" fillId="3" borderId="6" xfId="0" applyFont="1" applyFill="1" applyBorder="1" applyAlignment="1">
      <alignment horizontal="center"/>
    </xf>
    <xf numFmtId="177" fontId="41" fillId="0" borderId="7" xfId="0" applyNumberFormat="1" applyFont="1" applyBorder="1"/>
    <xf numFmtId="179" fontId="42" fillId="0" borderId="7" xfId="3" applyNumberFormat="1" applyFont="1" applyBorder="1" applyAlignment="1">
      <alignment horizontal="right"/>
    </xf>
    <xf numFmtId="0" fontId="37" fillId="0" borderId="7" xfId="0" applyFont="1" applyBorder="1"/>
    <xf numFmtId="0" fontId="18" fillId="0" borderId="7" xfId="0" applyFont="1" applyBorder="1"/>
    <xf numFmtId="179" fontId="25" fillId="0" borderId="0" xfId="3" applyNumberFormat="1" applyFont="1" applyFill="1" applyAlignment="1"/>
    <xf numFmtId="177" fontId="45" fillId="4" borderId="0" xfId="0" applyNumberFormat="1" applyFont="1" applyFill="1"/>
    <xf numFmtId="179" fontId="30" fillId="4" borderId="0" xfId="3" applyNumberFormat="1" applyFont="1" applyFill="1" applyBorder="1" applyAlignment="1"/>
    <xf numFmtId="10" fontId="25" fillId="4" borderId="0" xfId="3" applyNumberFormat="1" applyFont="1" applyFill="1" applyBorder="1" applyAlignment="1"/>
    <xf numFmtId="179" fontId="30" fillId="0" borderId="0" xfId="3" applyNumberFormat="1" applyFont="1" applyFill="1" applyBorder="1" applyAlignment="1"/>
    <xf numFmtId="10" fontId="25" fillId="0" borderId="0" xfId="3" applyNumberFormat="1" applyFont="1" applyFill="1" applyBorder="1" applyAlignment="1"/>
    <xf numFmtId="179" fontId="34" fillId="0" borderId="0" xfId="0" applyNumberFormat="1" applyFont="1"/>
    <xf numFmtId="179" fontId="39" fillId="0" borderId="0" xfId="3" applyNumberFormat="1" applyFont="1" applyFill="1" applyBorder="1" applyAlignment="1"/>
    <xf numFmtId="186" fontId="38" fillId="0" borderId="0" xfId="0" applyNumberFormat="1" applyFont="1"/>
    <xf numFmtId="0" fontId="25" fillId="0" borderId="0" xfId="0" applyFont="1" applyAlignment="1">
      <alignment vertical="top"/>
    </xf>
    <xf numFmtId="0" fontId="46" fillId="2" borderId="2" xfId="0" applyFont="1" applyFill="1" applyBorder="1" applyAlignment="1">
      <alignment horizontal="left"/>
    </xf>
    <xf numFmtId="177" fontId="26" fillId="4" borderId="14" xfId="0" applyNumberFormat="1" applyFont="1" applyFill="1" applyBorder="1" applyAlignment="1">
      <alignment horizontal="left" vertical="top"/>
    </xf>
    <xf numFmtId="10" fontId="26" fillId="4" borderId="15" xfId="3" applyNumberFormat="1" applyFont="1" applyFill="1" applyBorder="1" applyAlignment="1">
      <alignment horizontal="left" vertical="top"/>
    </xf>
    <xf numFmtId="0" fontId="3" fillId="0" borderId="0" xfId="1" applyFont="1" applyAlignment="1">
      <alignment horizontal="left"/>
    </xf>
    <xf numFmtId="0" fontId="3" fillId="0" borderId="0" xfId="1" applyFont="1" applyFill="1" applyAlignment="1">
      <alignment horizontal="left"/>
    </xf>
    <xf numFmtId="0" fontId="7" fillId="0" borderId="0" xfId="0" applyFont="1" applyAlignment="1">
      <alignment horizontal="left"/>
    </xf>
    <xf numFmtId="0" fontId="7" fillId="0" borderId="2" xfId="0" applyFont="1" applyBorder="1" applyAlignment="1">
      <alignment horizontal="left"/>
    </xf>
    <xf numFmtId="0" fontId="25" fillId="0" borderId="0" xfId="0" applyFont="1" applyAlignment="1">
      <alignment horizontal="left"/>
    </xf>
    <xf numFmtId="0" fontId="31" fillId="0" borderId="0" xfId="0" applyFont="1" applyAlignment="1">
      <alignment horizontal="left"/>
    </xf>
    <xf numFmtId="0" fontId="26" fillId="0" borderId="0" xfId="0" applyFont="1" applyAlignment="1">
      <alignment horizontal="left"/>
    </xf>
    <xf numFmtId="0" fontId="12" fillId="0" borderId="0" xfId="0" applyFont="1" applyAlignment="1">
      <alignment horizontal="left"/>
    </xf>
    <xf numFmtId="0" fontId="47" fillId="0" borderId="0" xfId="0" applyFont="1" applyAlignment="1">
      <alignment horizontal="left"/>
    </xf>
    <xf numFmtId="0" fontId="39" fillId="0" borderId="0" xfId="0" applyFont="1" applyAlignment="1">
      <alignment horizontal="left"/>
    </xf>
    <xf numFmtId="0" fontId="13" fillId="0" borderId="0" xfId="0" applyFont="1" applyAlignment="1">
      <alignment horizontal="left"/>
    </xf>
    <xf numFmtId="0" fontId="48" fillId="0" borderId="0" xfId="1" applyFont="1"/>
    <xf numFmtId="0" fontId="48" fillId="0" borderId="0" xfId="1" applyFont="1" applyFill="1"/>
    <xf numFmtId="0" fontId="34" fillId="0" borderId="13" xfId="0" applyFont="1" applyBorder="1" applyAlignment="1">
      <alignment horizontal="left" vertical="top"/>
    </xf>
    <xf numFmtId="0" fontId="34" fillId="0" borderId="9" xfId="0" applyFont="1" applyBorder="1" applyAlignment="1">
      <alignment horizontal="left" vertical="top"/>
    </xf>
    <xf numFmtId="0" fontId="34" fillId="0" borderId="12" xfId="0" applyFont="1" applyBorder="1" applyAlignment="1">
      <alignment horizontal="left" vertical="top"/>
    </xf>
    <xf numFmtId="0" fontId="34" fillId="0" borderId="8" xfId="0" applyFont="1" applyBorder="1" applyAlignment="1">
      <alignment horizontal="left" vertical="top" wrapText="1"/>
    </xf>
    <xf numFmtId="0" fontId="34" fillId="0" borderId="4" xfId="0" applyFont="1" applyBorder="1" applyAlignment="1">
      <alignment horizontal="left" vertical="top" wrapText="1"/>
    </xf>
    <xf numFmtId="0" fontId="34" fillId="0" borderId="5" xfId="0" applyFont="1" applyBorder="1" applyAlignment="1">
      <alignment horizontal="left" vertical="top" wrapText="1"/>
    </xf>
    <xf numFmtId="0" fontId="34" fillId="0" borderId="7" xfId="0" applyFont="1" applyBorder="1" applyAlignment="1">
      <alignment horizontal="left" vertical="top" wrapText="1"/>
    </xf>
    <xf numFmtId="0" fontId="34" fillId="0" borderId="0" xfId="0" applyFont="1" applyAlignment="1">
      <alignment horizontal="left" vertical="top" wrapText="1"/>
    </xf>
    <xf numFmtId="0" fontId="34" fillId="0" borderId="1" xfId="0" applyFont="1" applyBorder="1" applyAlignment="1">
      <alignment horizontal="left" vertical="top" wrapText="1"/>
    </xf>
    <xf numFmtId="0" fontId="34" fillId="0" borderId="6" xfId="0" applyFont="1" applyBorder="1" applyAlignment="1">
      <alignment horizontal="left" vertical="top" wrapText="1"/>
    </xf>
    <xf numFmtId="0" fontId="34" fillId="0" borderId="2" xfId="0" applyFont="1" applyBorder="1" applyAlignment="1">
      <alignment horizontal="left" vertical="top" wrapText="1"/>
    </xf>
    <xf numFmtId="0" fontId="34" fillId="0" borderId="3" xfId="0" applyFont="1" applyBorder="1" applyAlignment="1">
      <alignment horizontal="left" vertical="top" wrapText="1"/>
    </xf>
    <xf numFmtId="37" fontId="34" fillId="0" borderId="0" xfId="0" applyNumberFormat="1" applyFont="1" applyAlignment="1">
      <alignment horizontal="center" vertical="center"/>
    </xf>
    <xf numFmtId="0" fontId="34" fillId="0" borderId="7" xfId="0" applyFont="1" applyBorder="1" applyAlignment="1">
      <alignment horizontal="center" vertical="center"/>
    </xf>
    <xf numFmtId="0" fontId="34" fillId="0" borderId="0" xfId="0" applyFont="1" applyAlignment="1">
      <alignment horizontal="center" vertical="center"/>
    </xf>
    <xf numFmtId="0" fontId="25" fillId="4" borderId="0" xfId="0" applyFont="1" applyFill="1" applyAlignment="1">
      <alignment horizontal="center" vertical="center"/>
    </xf>
    <xf numFmtId="179" fontId="31" fillId="0" borderId="7" xfId="3" applyNumberFormat="1" applyFont="1" applyBorder="1" applyAlignment="1">
      <alignment horizontal="center"/>
    </xf>
    <xf numFmtId="179" fontId="31" fillId="0" borderId="0" xfId="3" applyNumberFormat="1" applyFont="1" applyAlignment="1">
      <alignment horizontal="center"/>
    </xf>
    <xf numFmtId="0" fontId="31" fillId="0" borderId="7" xfId="0" applyFont="1" applyBorder="1" applyAlignment="1">
      <alignment horizontal="center"/>
    </xf>
    <xf numFmtId="0" fontId="31" fillId="0" borderId="0" xfId="0" applyFont="1" applyAlignment="1">
      <alignment horizontal="center"/>
    </xf>
  </cellXfs>
  <cellStyles count="4">
    <cellStyle name="Comma" xfId="2" builtinId="3"/>
    <cellStyle name="Normal" xfId="0" builtinId="0"/>
    <cellStyle name="Normal 2" xfId="1" xr:uid="{B3554078-186F-41DF-85AD-74F30FF6CE4B}"/>
    <cellStyle name="Percent" xfId="3" builtinId="5"/>
  </cellStyles>
  <dxfs count="0"/>
  <tableStyles count="0" defaultTableStyle="TableStyleMedium2" defaultPivotStyle="PivotStyleLight16"/>
  <colors>
    <mruColors>
      <color rgb="FF0000FF"/>
      <color rgb="FF5FB7DF"/>
      <color rgb="FFF2D9FF"/>
      <color rgb="FFEAC1FF"/>
      <color rgb="FF7399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214314</xdr:colOff>
      <xdr:row>1</xdr:row>
      <xdr:rowOff>147636</xdr:rowOff>
    </xdr:from>
    <xdr:to>
      <xdr:col>8</xdr:col>
      <xdr:colOff>585789</xdr:colOff>
      <xdr:row>2</xdr:row>
      <xdr:rowOff>132204</xdr:rowOff>
    </xdr:to>
    <xdr:sp macro="" textlink="">
      <xdr:nvSpPr>
        <xdr:cNvPr id="5" name="Arrow: Right 4">
          <a:extLst>
            <a:ext uri="{FF2B5EF4-FFF2-40B4-BE49-F238E27FC236}">
              <a16:creationId xmlns:a16="http://schemas.microsoft.com/office/drawing/2014/main" id="{804EEC2B-79BD-5A57-A086-6A463FB3604F}"/>
            </a:ext>
          </a:extLst>
        </xdr:cNvPr>
        <xdr:cNvSpPr/>
      </xdr:nvSpPr>
      <xdr:spPr>
        <a:xfrm rot="10800000">
          <a:off x="4929189" y="147636"/>
          <a:ext cx="371475" cy="132206"/>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8</xdr:col>
      <xdr:colOff>200025</xdr:colOff>
      <xdr:row>4</xdr:row>
      <xdr:rowOff>14286</xdr:rowOff>
    </xdr:from>
    <xdr:to>
      <xdr:col>8</xdr:col>
      <xdr:colOff>571500</xdr:colOff>
      <xdr:row>4</xdr:row>
      <xdr:rowOff>146492</xdr:rowOff>
    </xdr:to>
    <xdr:sp macro="" textlink="">
      <xdr:nvSpPr>
        <xdr:cNvPr id="6" name="Arrow: Right 5">
          <a:extLst>
            <a:ext uri="{FF2B5EF4-FFF2-40B4-BE49-F238E27FC236}">
              <a16:creationId xmlns:a16="http://schemas.microsoft.com/office/drawing/2014/main" id="{B46F8A57-8DD9-403F-B6EF-A5042C999B17}"/>
            </a:ext>
          </a:extLst>
        </xdr:cNvPr>
        <xdr:cNvSpPr/>
      </xdr:nvSpPr>
      <xdr:spPr>
        <a:xfrm rot="10800000">
          <a:off x="4914900" y="457199"/>
          <a:ext cx="371475" cy="132206"/>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90489</xdr:colOff>
      <xdr:row>1</xdr:row>
      <xdr:rowOff>71440</xdr:rowOff>
    </xdr:from>
    <xdr:to>
      <xdr:col>4</xdr:col>
      <xdr:colOff>400052</xdr:colOff>
      <xdr:row>3</xdr:row>
      <xdr:rowOff>61540</xdr:rowOff>
    </xdr:to>
    <xdr:pic>
      <xdr:nvPicPr>
        <xdr:cNvPr id="2" name="Picture 1">
          <a:extLst>
            <a:ext uri="{FF2B5EF4-FFF2-40B4-BE49-F238E27FC236}">
              <a16:creationId xmlns:a16="http://schemas.microsoft.com/office/drawing/2014/main" id="{E5C67877-6B62-F3D9-7EE0-ABB18BCF173D}"/>
            </a:ext>
          </a:extLst>
        </xdr:cNvPr>
        <xdr:cNvPicPr>
          <a:picLocks noChangeAspect="1"/>
        </xdr:cNvPicPr>
      </xdr:nvPicPr>
      <xdr:blipFill>
        <a:blip xmlns:r="http://schemas.openxmlformats.org/officeDocument/2006/relationships" r:embed="rId1"/>
        <a:stretch>
          <a:fillRect/>
        </a:stretch>
      </xdr:blipFill>
      <xdr:spPr>
        <a:xfrm>
          <a:off x="2124077" y="242890"/>
          <a:ext cx="942975" cy="3949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DC914-D92F-497E-9374-F5A884A170B5}">
  <sheetPr>
    <tabColor theme="7" tint="0.79998168889431442"/>
  </sheetPr>
  <dimension ref="B3:J7"/>
  <sheetViews>
    <sheetView showGridLines="0" view="pageBreakPreview" zoomScaleNormal="100" zoomScaleSheetLayoutView="100" workbookViewId="0">
      <selection activeCell="Q40" sqref="Q40"/>
    </sheetView>
  </sheetViews>
  <sheetFormatPr defaultRowHeight="11.65" x14ac:dyDescent="0.35"/>
  <cols>
    <col min="1" max="2" width="2.53125" style="51" customWidth="1"/>
    <col min="3" max="10" width="9.06640625" style="51"/>
    <col min="11" max="11" width="9.06640625" style="51" customWidth="1"/>
    <col min="12" max="16384" width="9.06640625" style="51"/>
  </cols>
  <sheetData>
    <row r="3" spans="2:10" x14ac:dyDescent="0.35">
      <c r="B3" s="51" t="s">
        <v>36</v>
      </c>
      <c r="C3" s="52" t="s">
        <v>82</v>
      </c>
      <c r="E3" s="402" t="s">
        <v>65</v>
      </c>
      <c r="F3" s="403"/>
      <c r="G3" s="403"/>
      <c r="H3" s="404"/>
      <c r="I3" s="385"/>
      <c r="J3" s="90" t="s">
        <v>263</v>
      </c>
    </row>
    <row r="4" spans="2:10" x14ac:dyDescent="0.35">
      <c r="J4" s="90"/>
    </row>
    <row r="5" spans="2:10" x14ac:dyDescent="0.35">
      <c r="B5" s="51" t="s">
        <v>36</v>
      </c>
      <c r="C5" s="52" t="s">
        <v>260</v>
      </c>
      <c r="E5" s="405" t="s">
        <v>261</v>
      </c>
      <c r="F5" s="406"/>
      <c r="G5" s="406"/>
      <c r="H5" s="407"/>
      <c r="I5" s="385"/>
      <c r="J5" s="90" t="s">
        <v>264</v>
      </c>
    </row>
    <row r="6" spans="2:10" x14ac:dyDescent="0.35">
      <c r="E6" s="408"/>
      <c r="F6" s="409"/>
      <c r="G6" s="409"/>
      <c r="H6" s="410"/>
    </row>
    <row r="7" spans="2:10" x14ac:dyDescent="0.35">
      <c r="E7" s="411"/>
      <c r="F7" s="412"/>
      <c r="G7" s="412"/>
      <c r="H7" s="413"/>
    </row>
  </sheetData>
  <mergeCells count="2">
    <mergeCell ref="E3:H3"/>
    <mergeCell ref="E5:H7"/>
  </mergeCells>
  <phoneticPr fontId="1" type="noConversion"/>
  <pageMargins left="0.7" right="0.7" top="0.75" bottom="0.75" header="0.3" footer="0.3"/>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C6D7B-DB5E-4722-B54B-A379DB0B13E3}">
  <sheetPr>
    <tabColor theme="1"/>
  </sheetPr>
  <dimension ref="B2:H19"/>
  <sheetViews>
    <sheetView showGridLines="0" tabSelected="1" view="pageBreakPreview" zoomScaleNormal="115" zoomScaleSheetLayoutView="100" workbookViewId="0">
      <selection activeCell="H33" sqref="H33"/>
    </sheetView>
  </sheetViews>
  <sheetFormatPr defaultRowHeight="13.5" x14ac:dyDescent="0.35"/>
  <cols>
    <col min="1" max="1" width="2.46484375" style="14" customWidth="1"/>
    <col min="2" max="2" width="2.53125" style="14" customWidth="1"/>
    <col min="3" max="3" width="23.46484375" style="14" customWidth="1"/>
    <col min="4" max="4" width="8.86328125" style="14" customWidth="1"/>
    <col min="5" max="16384" width="9.06640625" style="14"/>
  </cols>
  <sheetData>
    <row r="2" spans="2:8" s="6" customFormat="1" ht="13.25" customHeight="1" x14ac:dyDescent="0.5">
      <c r="B2" s="41"/>
      <c r="C2" s="42"/>
      <c r="D2" s="48"/>
      <c r="E2" s="43"/>
      <c r="F2" s="44"/>
      <c r="G2" s="44"/>
      <c r="H2" s="45"/>
    </row>
    <row r="3" spans="2:8" s="6" customFormat="1" ht="18.850000000000001" customHeight="1" x14ac:dyDescent="0.5">
      <c r="B3" s="46"/>
      <c r="C3" s="47" t="str">
        <f>Name</f>
        <v>Natera</v>
      </c>
      <c r="D3" s="37"/>
      <c r="H3" s="12"/>
    </row>
    <row r="4" spans="2:8" s="6" customFormat="1" ht="19.5" customHeight="1" x14ac:dyDescent="0.5">
      <c r="B4" s="49"/>
      <c r="C4" s="386" t="s">
        <v>64</v>
      </c>
      <c r="D4" s="38"/>
      <c r="E4" s="35"/>
      <c r="F4" s="16"/>
      <c r="G4" s="16"/>
      <c r="H4" s="50"/>
    </row>
    <row r="5" spans="2:8" s="6" customFormat="1" ht="12.75" customHeight="1" x14ac:dyDescent="0.35">
      <c r="B5" s="37"/>
      <c r="C5" s="198"/>
      <c r="D5" s="199"/>
      <c r="E5" s="200"/>
      <c r="F5" s="51"/>
      <c r="G5" s="51"/>
      <c r="H5" s="53"/>
    </row>
    <row r="6" spans="2:8" x14ac:dyDescent="0.35">
      <c r="B6" s="32"/>
      <c r="C6" s="201"/>
      <c r="D6" s="132" t="s">
        <v>66</v>
      </c>
      <c r="E6" s="201"/>
      <c r="F6" s="51"/>
      <c r="G6" s="51"/>
      <c r="H6" s="53"/>
    </row>
    <row r="7" spans="2:8" x14ac:dyDescent="0.35">
      <c r="B7" s="32"/>
      <c r="C7" s="201"/>
      <c r="D7" s="202" t="s">
        <v>67</v>
      </c>
      <c r="E7" s="201" t="s">
        <v>70</v>
      </c>
      <c r="F7" s="51"/>
      <c r="G7" s="51"/>
      <c r="H7" s="53"/>
    </row>
    <row r="8" spans="2:8" x14ac:dyDescent="0.35">
      <c r="B8" s="32"/>
      <c r="C8" s="201"/>
      <c r="D8" s="203" t="s">
        <v>68</v>
      </c>
      <c r="E8" s="201" t="s">
        <v>71</v>
      </c>
      <c r="F8" s="51"/>
      <c r="G8" s="51"/>
      <c r="H8" s="53"/>
    </row>
    <row r="9" spans="2:8" x14ac:dyDescent="0.35">
      <c r="B9" s="32"/>
      <c r="C9" s="201"/>
      <c r="D9" s="204" t="s">
        <v>74</v>
      </c>
      <c r="E9" s="201" t="s">
        <v>75</v>
      </c>
      <c r="F9" s="51"/>
      <c r="G9" s="51"/>
      <c r="H9" s="53"/>
    </row>
    <row r="10" spans="2:8" x14ac:dyDescent="0.35">
      <c r="B10" s="32"/>
      <c r="C10" s="205"/>
      <c r="D10" s="133" t="s">
        <v>69</v>
      </c>
      <c r="E10" s="201" t="s">
        <v>72</v>
      </c>
      <c r="F10" s="51"/>
      <c r="G10" s="51"/>
      <c r="H10" s="53"/>
    </row>
    <row r="11" spans="2:8" x14ac:dyDescent="0.35">
      <c r="B11" s="32"/>
      <c r="C11" s="201"/>
      <c r="D11" s="133"/>
      <c r="E11" s="201"/>
      <c r="F11" s="51"/>
      <c r="G11" s="51"/>
      <c r="H11" s="53"/>
    </row>
    <row r="12" spans="2:8" x14ac:dyDescent="0.35">
      <c r="B12" s="32"/>
      <c r="C12" s="205"/>
      <c r="D12" s="133"/>
      <c r="E12" s="201"/>
      <c r="F12" s="51"/>
      <c r="G12" s="51"/>
      <c r="H12" s="53"/>
    </row>
    <row r="13" spans="2:8" ht="13.9" x14ac:dyDescent="0.4">
      <c r="B13" s="32"/>
      <c r="C13" s="201"/>
      <c r="D13" s="208" t="s">
        <v>73</v>
      </c>
      <c r="E13" s="201"/>
      <c r="F13" s="51"/>
      <c r="G13" s="51"/>
      <c r="H13" s="53"/>
    </row>
    <row r="14" spans="2:8" x14ac:dyDescent="0.35">
      <c r="B14" s="32"/>
      <c r="C14" s="201"/>
      <c r="D14" s="133"/>
      <c r="E14" s="201"/>
      <c r="F14" s="51"/>
      <c r="G14" s="51"/>
      <c r="H14" s="53"/>
    </row>
    <row r="15" spans="2:8" x14ac:dyDescent="0.35">
      <c r="B15" s="33"/>
      <c r="C15" s="206"/>
      <c r="D15" s="207"/>
      <c r="E15" s="206"/>
      <c r="F15" s="59"/>
      <c r="G15" s="59"/>
      <c r="H15" s="123"/>
    </row>
    <row r="16" spans="2:8" x14ac:dyDescent="0.35">
      <c r="C16" s="201"/>
      <c r="D16" s="201"/>
      <c r="E16" s="201"/>
      <c r="F16" s="51"/>
      <c r="G16" s="51"/>
      <c r="H16" s="51"/>
    </row>
    <row r="17" spans="3:5" x14ac:dyDescent="0.35">
      <c r="C17" s="36"/>
      <c r="D17" s="36"/>
      <c r="E17" s="36"/>
    </row>
    <row r="18" spans="3:5" x14ac:dyDescent="0.35">
      <c r="C18" s="36"/>
      <c r="D18" s="36"/>
      <c r="E18" s="36"/>
    </row>
    <row r="19" spans="3:5" x14ac:dyDescent="0.35">
      <c r="C19" s="36"/>
      <c r="D19" s="36"/>
      <c r="E19" s="36"/>
    </row>
  </sheetData>
  <phoneticPr fontId="1" type="noConversion"/>
  <pageMargins left="0.39370078740157483" right="0" top="0.19685039370078741" bottom="0" header="0.31496062992125984" footer="0"/>
  <pageSetup paperSize="8"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536DE-F32D-48F7-9196-01F7EECEEF79}">
  <sheetPr>
    <tabColor theme="1"/>
  </sheetPr>
  <dimension ref="A1:AZ188"/>
  <sheetViews>
    <sheetView showGridLines="0" view="pageBreakPreview" zoomScaleNormal="100" zoomScaleSheetLayoutView="100" workbookViewId="0">
      <pane xSplit="3" ySplit="4" topLeftCell="H5" activePane="bottomRight" state="frozen"/>
      <selection activeCell="I22" sqref="I22"/>
      <selection pane="topRight" activeCell="I22" sqref="I22"/>
      <selection pane="bottomLeft" activeCell="I22" sqref="I22"/>
      <selection pane="bottomRight" activeCell="AE36" sqref="AE36"/>
    </sheetView>
  </sheetViews>
  <sheetFormatPr defaultRowHeight="13.5" outlineLevelRow="1" outlineLevelCol="1" x14ac:dyDescent="0.35"/>
  <cols>
    <col min="1" max="1" width="2.53125" style="14" customWidth="1"/>
    <col min="2" max="2" width="27.46484375" style="14" customWidth="1"/>
    <col min="3" max="3" width="8.86328125" style="14" customWidth="1"/>
    <col min="4" max="4" width="9.06640625" style="32" hidden="1" customWidth="1" outlineLevel="1"/>
    <col min="5" max="7" width="9.06640625" style="14" hidden="1" customWidth="1" outlineLevel="1"/>
    <col min="8" max="8" width="9.06640625" style="14" customWidth="1" collapsed="1"/>
    <col min="9" max="12" width="9.06640625" style="14" hidden="1" customWidth="1" outlineLevel="1"/>
    <col min="13" max="13" width="9.06640625" style="14" customWidth="1" collapsed="1"/>
    <col min="14" max="17" width="9.06640625" style="14" hidden="1" customWidth="1" outlineLevel="1"/>
    <col min="18" max="18" width="9.06640625" style="14" customWidth="1" collapsed="1"/>
    <col min="19" max="22" width="9.06640625" style="14" hidden="1" customWidth="1" outlineLevel="1"/>
    <col min="23" max="23" width="9.06640625" style="14" customWidth="1" collapsed="1"/>
    <col min="24" max="27" width="9.06640625" style="14" hidden="1" customWidth="1" outlineLevel="1"/>
    <col min="28" max="28" width="9.06640625" style="14" customWidth="1" collapsed="1"/>
    <col min="29" max="32" width="9.06640625" style="14" customWidth="1" outlineLevel="1"/>
    <col min="33" max="33" width="9.06640625" style="14" customWidth="1"/>
    <col min="34" max="37" width="9.06640625" style="14" customWidth="1" outlineLevel="1"/>
    <col min="38" max="38" width="9.06640625" style="14" customWidth="1"/>
    <col min="39" max="39" width="2.53125" style="14" customWidth="1"/>
    <col min="40" max="44" width="14.19921875" style="14" hidden="1" customWidth="1" outlineLevel="1"/>
    <col min="45" max="45" width="2.53125" style="14" customWidth="1" collapsed="1"/>
    <col min="46" max="46" width="2.53125" style="14" customWidth="1"/>
    <col min="47" max="47" width="9" style="14" customWidth="1"/>
    <col min="48" max="48" width="10.265625" style="14" customWidth="1"/>
    <col min="49" max="49" width="9.06640625" style="14"/>
    <col min="50" max="50" width="11.86328125" style="14" bestFit="1" customWidth="1"/>
    <col min="51" max="16384" width="9.06640625" style="14"/>
  </cols>
  <sheetData>
    <row r="1" spans="1:48" s="6" customFormat="1" ht="17.649999999999999" x14ac:dyDescent="0.5">
      <c r="A1" s="1"/>
      <c r="B1" s="2" t="str">
        <f>Name</f>
        <v>Natera</v>
      </c>
      <c r="C1" s="366"/>
      <c r="D1" s="369"/>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5"/>
      <c r="AN1" s="3"/>
      <c r="AO1" s="3"/>
      <c r="AP1" s="3"/>
      <c r="AQ1" s="3"/>
      <c r="AR1" s="3"/>
      <c r="AS1" s="5"/>
    </row>
    <row r="2" spans="1:48" s="6" customFormat="1" ht="17.649999999999999" x14ac:dyDescent="0.5">
      <c r="A2" s="7"/>
      <c r="B2" s="8" t="s">
        <v>0</v>
      </c>
      <c r="D2" s="37"/>
    </row>
    <row r="3" spans="1:48" s="6" customFormat="1" ht="12.75" customHeight="1" x14ac:dyDescent="0.35">
      <c r="B3" s="54"/>
      <c r="C3" s="54"/>
      <c r="D3" s="370" t="s">
        <v>2</v>
      </c>
      <c r="E3" s="56" t="s">
        <v>3</v>
      </c>
      <c r="F3" s="56" t="s">
        <v>4</v>
      </c>
      <c r="G3" s="56" t="s">
        <v>5</v>
      </c>
      <c r="H3" s="57">
        <v>2019</v>
      </c>
      <c r="I3" s="56" t="s">
        <v>7</v>
      </c>
      <c r="J3" s="56" t="s">
        <v>8</v>
      </c>
      <c r="K3" s="56" t="s">
        <v>9</v>
      </c>
      <c r="L3" s="56" t="s">
        <v>10</v>
      </c>
      <c r="M3" s="57">
        <v>2020</v>
      </c>
      <c r="N3" s="56" t="s">
        <v>23</v>
      </c>
      <c r="O3" s="56" t="s">
        <v>24</v>
      </c>
      <c r="P3" s="56" t="s">
        <v>25</v>
      </c>
      <c r="Q3" s="56" t="s">
        <v>26</v>
      </c>
      <c r="R3" s="57">
        <v>2021</v>
      </c>
      <c r="S3" s="56" t="s">
        <v>27</v>
      </c>
      <c r="T3" s="56" t="s">
        <v>28</v>
      </c>
      <c r="U3" s="56" t="s">
        <v>29</v>
      </c>
      <c r="V3" s="56" t="s">
        <v>30</v>
      </c>
      <c r="W3" s="57">
        <v>2022</v>
      </c>
      <c r="X3" s="56" t="s">
        <v>15</v>
      </c>
      <c r="Y3" s="56" t="s">
        <v>16</v>
      </c>
      <c r="Z3" s="56" t="s">
        <v>17</v>
      </c>
      <c r="AA3" s="56" t="s">
        <v>18</v>
      </c>
      <c r="AB3" s="57">
        <v>2023</v>
      </c>
      <c r="AC3" s="56" t="s">
        <v>11</v>
      </c>
      <c r="AD3" s="56" t="s">
        <v>12</v>
      </c>
      <c r="AE3" s="56" t="s">
        <v>13</v>
      </c>
      <c r="AF3" s="56" t="s">
        <v>14</v>
      </c>
      <c r="AG3" s="57">
        <v>2024</v>
      </c>
      <c r="AH3" s="56" t="s">
        <v>19</v>
      </c>
      <c r="AI3" s="56" t="s">
        <v>20</v>
      </c>
      <c r="AJ3" s="56" t="s">
        <v>21</v>
      </c>
      <c r="AK3" s="56" t="s">
        <v>22</v>
      </c>
      <c r="AL3" s="169">
        <v>2025</v>
      </c>
      <c r="AM3" s="81"/>
      <c r="AN3" s="56" t="s">
        <v>31</v>
      </c>
      <c r="AO3" s="56" t="s">
        <v>32</v>
      </c>
      <c r="AP3" s="56" t="s">
        <v>33</v>
      </c>
      <c r="AQ3" s="56" t="s">
        <v>34</v>
      </c>
      <c r="AR3" s="57">
        <v>2026</v>
      </c>
      <c r="AS3" s="58"/>
      <c r="AT3" s="51"/>
      <c r="AU3" s="130" t="s">
        <v>226</v>
      </c>
    </row>
    <row r="4" spans="1:48" s="16" customFormat="1" ht="12.75" customHeight="1" x14ac:dyDescent="0.35">
      <c r="A4" s="6"/>
      <c r="B4" s="60" t="str">
        <f>Subheader</f>
        <v>$ in millions, except test volumes, TAM, and per share amounts</v>
      </c>
      <c r="C4" s="60"/>
      <c r="D4" s="371" t="s">
        <v>1</v>
      </c>
      <c r="E4" s="62" t="s">
        <v>1</v>
      </c>
      <c r="F4" s="62" t="s">
        <v>1</v>
      </c>
      <c r="G4" s="62" t="s">
        <v>1</v>
      </c>
      <c r="H4" s="63" t="s">
        <v>1</v>
      </c>
      <c r="I4" s="62" t="s">
        <v>1</v>
      </c>
      <c r="J4" s="62" t="s">
        <v>1</v>
      </c>
      <c r="K4" s="62" t="s">
        <v>1</v>
      </c>
      <c r="L4" s="62" t="s">
        <v>1</v>
      </c>
      <c r="M4" s="63" t="s">
        <v>1</v>
      </c>
      <c r="N4" s="62" t="s">
        <v>1</v>
      </c>
      <c r="O4" s="62" t="s">
        <v>1</v>
      </c>
      <c r="P4" s="62" t="s">
        <v>1</v>
      </c>
      <c r="Q4" s="62" t="s">
        <v>1</v>
      </c>
      <c r="R4" s="63" t="s">
        <v>1</v>
      </c>
      <c r="S4" s="62" t="s">
        <v>1</v>
      </c>
      <c r="T4" s="62" t="s">
        <v>1</v>
      </c>
      <c r="U4" s="62" t="s">
        <v>1</v>
      </c>
      <c r="V4" s="62" t="s">
        <v>1</v>
      </c>
      <c r="W4" s="63" t="s">
        <v>1</v>
      </c>
      <c r="X4" s="62" t="s">
        <v>1</v>
      </c>
      <c r="Y4" s="62" t="s">
        <v>1</v>
      </c>
      <c r="Z4" s="62" t="s">
        <v>1</v>
      </c>
      <c r="AA4" s="62" t="s">
        <v>1</v>
      </c>
      <c r="AB4" s="63" t="s">
        <v>1</v>
      </c>
      <c r="AC4" s="62" t="s">
        <v>1</v>
      </c>
      <c r="AD4" s="62" t="s">
        <v>6</v>
      </c>
      <c r="AE4" s="62" t="s">
        <v>6</v>
      </c>
      <c r="AF4" s="62" t="s">
        <v>6</v>
      </c>
      <c r="AG4" s="63" t="s">
        <v>6</v>
      </c>
      <c r="AH4" s="62" t="s">
        <v>6</v>
      </c>
      <c r="AI4" s="62" t="s">
        <v>6</v>
      </c>
      <c r="AJ4" s="62" t="s">
        <v>6</v>
      </c>
      <c r="AK4" s="62" t="s">
        <v>6</v>
      </c>
      <c r="AL4" s="170" t="s">
        <v>6</v>
      </c>
      <c r="AM4" s="81"/>
      <c r="AN4" s="62" t="s">
        <v>6</v>
      </c>
      <c r="AO4" s="62" t="s">
        <v>6</v>
      </c>
      <c r="AP4" s="62" t="s">
        <v>6</v>
      </c>
      <c r="AQ4" s="62" t="s">
        <v>6</v>
      </c>
      <c r="AR4" s="63" t="s">
        <v>6</v>
      </c>
      <c r="AS4" s="58"/>
      <c r="AT4" s="59"/>
      <c r="AU4" s="59"/>
    </row>
    <row r="5" spans="1:48" x14ac:dyDescent="0.35">
      <c r="B5" s="189" t="s">
        <v>37</v>
      </c>
      <c r="C5" s="51"/>
      <c r="D5" s="372">
        <f>IS!D5</f>
        <v>63.363999999999997</v>
      </c>
      <c r="E5" s="137">
        <f>IS!E5</f>
        <v>65.099000000000004</v>
      </c>
      <c r="F5" s="137">
        <f>IS!F5</f>
        <v>66.936000000000007</v>
      </c>
      <c r="G5" s="137">
        <f>IS!G5</f>
        <v>74.500999999999976</v>
      </c>
      <c r="H5" s="131">
        <f>SUM(D5:G5)</f>
        <v>269.89999999999998</v>
      </c>
      <c r="I5" s="137">
        <f>IS!I5</f>
        <v>87.046000000000006</v>
      </c>
      <c r="J5" s="137">
        <f>IS!J5</f>
        <v>80.414000000000001</v>
      </c>
      <c r="K5" s="137">
        <f>IS!K5</f>
        <v>93.286000000000001</v>
      </c>
      <c r="L5" s="137">
        <f>IS!L5</f>
        <v>106.45400000000001</v>
      </c>
      <c r="M5" s="131">
        <f>SUM(I5:L5)</f>
        <v>367.2</v>
      </c>
      <c r="N5" s="137">
        <f>IS!N5</f>
        <v>118.38200000000001</v>
      </c>
      <c r="O5" s="137">
        <f>IS!O5</f>
        <v>137.232</v>
      </c>
      <c r="P5" s="137">
        <f>IS!P5</f>
        <v>150.65100000000001</v>
      </c>
      <c r="Q5" s="137">
        <f>IS!Q5</f>
        <v>160.88400000000001</v>
      </c>
      <c r="R5" s="131">
        <f>SUM(N5:Q5)</f>
        <v>567.149</v>
      </c>
      <c r="S5" s="137">
        <f>IS!S5</f>
        <v>190.00200000000001</v>
      </c>
      <c r="T5" s="137">
        <f>IS!T5</f>
        <v>194.58199999999999</v>
      </c>
      <c r="U5" s="137">
        <f>IS!U5</f>
        <v>199.83099999999999</v>
      </c>
      <c r="V5" s="137">
        <f>IS!V5</f>
        <v>212.89200000000005</v>
      </c>
      <c r="W5" s="131">
        <f>SUM(S5:V5)</f>
        <v>797.30700000000002</v>
      </c>
      <c r="X5" s="137">
        <f>IS!X5</f>
        <v>237.797</v>
      </c>
      <c r="Y5" s="137">
        <f>IS!Y5</f>
        <v>258.25599999999997</v>
      </c>
      <c r="Z5" s="137">
        <f>IS!Z5</f>
        <v>265.21800000000002</v>
      </c>
      <c r="AA5" s="137">
        <f>IS!AA5</f>
        <v>307.25099999999998</v>
      </c>
      <c r="AB5" s="131">
        <f>SUM(X5:AA5)</f>
        <v>1068.5219999999999</v>
      </c>
      <c r="AC5" s="137">
        <f>IS!AC5</f>
        <v>364.67200000000003</v>
      </c>
      <c r="AD5" s="93">
        <f>AD18</f>
        <v>371.24299999999999</v>
      </c>
      <c r="AE5" s="93">
        <f>AE18</f>
        <v>350.64471780000002</v>
      </c>
      <c r="AF5" s="93">
        <f>AF18</f>
        <v>371.00558250000006</v>
      </c>
      <c r="AG5" s="131">
        <f>SUM(AC5:AF5)</f>
        <v>1457.5653003000002</v>
      </c>
      <c r="AH5" s="93">
        <f>+AH18</f>
        <v>472.61491200000012</v>
      </c>
      <c r="AI5" s="93">
        <f t="shared" ref="AI5:AK5" si="0">+AI18</f>
        <v>461.08380599999992</v>
      </c>
      <c r="AJ5" s="93">
        <f t="shared" si="0"/>
        <v>435.50073950759992</v>
      </c>
      <c r="AK5" s="93">
        <f t="shared" si="0"/>
        <v>452.77521288299999</v>
      </c>
      <c r="AL5" s="131">
        <f>SUM(AH5:AK5)</f>
        <v>1821.9746703906001</v>
      </c>
      <c r="AM5" s="256"/>
      <c r="AN5" s="93">
        <f>+AN18</f>
        <v>472.61491200000012</v>
      </c>
      <c r="AO5" s="93">
        <f t="shared" ref="AO5:AQ5" si="1">+AO18</f>
        <v>461.08380599999992</v>
      </c>
      <c r="AP5" s="93">
        <f t="shared" si="1"/>
        <v>435.50073950759992</v>
      </c>
      <c r="AQ5" s="93">
        <f t="shared" si="1"/>
        <v>452.77521288299999</v>
      </c>
      <c r="AR5" s="131">
        <f>SUM(AN5:AQ5)</f>
        <v>1821.9746703906001</v>
      </c>
      <c r="AS5" s="51"/>
      <c r="AT5" s="51"/>
      <c r="AU5" s="90"/>
      <c r="AV5" s="51" t="s">
        <v>241</v>
      </c>
    </row>
    <row r="6" spans="1:48" x14ac:dyDescent="0.35">
      <c r="B6" s="175" t="s">
        <v>39</v>
      </c>
      <c r="C6" s="71"/>
      <c r="D6" s="373"/>
      <c r="E6" s="139"/>
      <c r="F6" s="139"/>
      <c r="G6" s="139"/>
      <c r="H6" s="92"/>
      <c r="I6" s="180">
        <f>I5/D5-1</f>
        <v>0.37374534435957352</v>
      </c>
      <c r="J6" s="180">
        <f t="shared" ref="J6:L6" si="2">J5/E5-1</f>
        <v>0.23525707000107521</v>
      </c>
      <c r="K6" s="180">
        <f t="shared" si="2"/>
        <v>0.39365961515477466</v>
      </c>
      <c r="L6" s="180">
        <f t="shared" si="2"/>
        <v>0.42889357189836441</v>
      </c>
      <c r="M6" s="181">
        <f>M5/H5-1</f>
        <v>0.36050389032975194</v>
      </c>
      <c r="N6" s="180">
        <f>N5/I5-1</f>
        <v>0.35999356661994808</v>
      </c>
      <c r="O6" s="180">
        <f t="shared" ref="O6" si="3">O5/J5-1</f>
        <v>0.7065685079712487</v>
      </c>
      <c r="P6" s="180">
        <f t="shared" ref="P6" si="4">P5/K5-1</f>
        <v>0.61493686083656729</v>
      </c>
      <c r="Q6" s="180">
        <f t="shared" ref="Q6" si="5">Q5/L5-1</f>
        <v>0.51130065568226657</v>
      </c>
      <c r="R6" s="181">
        <f>R5/M5-1</f>
        <v>0.5445234204793028</v>
      </c>
      <c r="S6" s="180">
        <f t="shared" ref="S6" si="6">S5/N5-1</f>
        <v>0.60499062357452993</v>
      </c>
      <c r="T6" s="180">
        <f t="shared" ref="T6" si="7">T5/O5-1</f>
        <v>0.41790544479421698</v>
      </c>
      <c r="U6" s="180">
        <f t="shared" ref="U6" si="8">U5/P5-1</f>
        <v>0.32644987421258387</v>
      </c>
      <c r="V6" s="180">
        <f t="shared" ref="V6:X6" si="9">V5/Q5-1</f>
        <v>0.3232639665846202</v>
      </c>
      <c r="W6" s="181">
        <f t="shared" si="9"/>
        <v>0.40581575564798666</v>
      </c>
      <c r="X6" s="180">
        <f t="shared" si="9"/>
        <v>0.25154998368438219</v>
      </c>
      <c r="Y6" s="180">
        <f t="shared" ref="Y6" si="10">Y5/T5-1</f>
        <v>0.327234790473939</v>
      </c>
      <c r="Z6" s="180">
        <f t="shared" ref="Z6" si="11">Z5/U5-1</f>
        <v>0.32721149371218705</v>
      </c>
      <c r="AA6" s="180">
        <f t="shared" ref="AA6:AB6" si="12">AA5/V5-1</f>
        <v>0.44322473366777482</v>
      </c>
      <c r="AB6" s="181">
        <f t="shared" si="12"/>
        <v>0.34016382648089127</v>
      </c>
      <c r="AC6" s="180">
        <f t="shared" ref="AC6" si="13">AC5/X5-1</f>
        <v>0.53354331635807029</v>
      </c>
      <c r="AD6" s="180">
        <f t="shared" ref="AD6" si="14">AD5/Y5-1</f>
        <v>0.43750000000000022</v>
      </c>
      <c r="AE6" s="180">
        <f t="shared" ref="AE6" si="15">AE5/Z5-1</f>
        <v>0.32210000000000005</v>
      </c>
      <c r="AF6" s="180">
        <f t="shared" ref="AF6" si="16">AF5/AA5-1</f>
        <v>0.20750000000000024</v>
      </c>
      <c r="AG6" s="181">
        <f t="shared" ref="AG6" si="17">AG5/AB5-1</f>
        <v>0.36409479664433708</v>
      </c>
      <c r="AH6" s="191">
        <f t="shared" ref="AH6" si="18">AH5/AC5-1</f>
        <v>0.29600000000000026</v>
      </c>
      <c r="AI6" s="191">
        <f t="shared" ref="AI6" si="19">AI5/AD5-1</f>
        <v>0.24199999999999977</v>
      </c>
      <c r="AJ6" s="191">
        <f t="shared" ref="AJ6" si="20">AJ5/AE5-1</f>
        <v>0.24199999999999977</v>
      </c>
      <c r="AK6" s="191">
        <f t="shared" ref="AK6" si="21">AK5/AF5-1</f>
        <v>0.22039999999999971</v>
      </c>
      <c r="AL6" s="378">
        <f t="shared" ref="AL6" si="22">AL5/AG5-1</f>
        <v>0.25001238024505401</v>
      </c>
      <c r="AM6" s="380"/>
      <c r="AN6" s="51"/>
      <c r="AO6" s="51"/>
      <c r="AP6" s="51"/>
      <c r="AQ6" s="51"/>
      <c r="AR6" s="92"/>
      <c r="AS6" s="51"/>
      <c r="AT6" s="51"/>
      <c r="AU6" s="90"/>
      <c r="AV6" s="387">
        <f>AL9-AL13</f>
        <v>143.40993183288356</v>
      </c>
    </row>
    <row r="7" spans="1:48" x14ac:dyDescent="0.35">
      <c r="B7" s="189" t="s">
        <v>40</v>
      </c>
      <c r="C7" s="51"/>
      <c r="D7" s="372">
        <f>IS!D7</f>
        <v>3.46</v>
      </c>
      <c r="E7" s="137">
        <f>IS!E7</f>
        <v>9.2560000000000002</v>
      </c>
      <c r="F7" s="137">
        <f>IS!F7</f>
        <v>10.973000000000001</v>
      </c>
      <c r="G7" s="137">
        <f>IS!G7</f>
        <v>8.7580000000000027</v>
      </c>
      <c r="H7" s="131">
        <f>SUM(D7:G7)</f>
        <v>32.447000000000003</v>
      </c>
      <c r="I7" s="137">
        <f>IS!I7</f>
        <v>6.9660000000000002</v>
      </c>
      <c r="J7" s="137">
        <f>IS!J7</f>
        <v>6.0579999999999998</v>
      </c>
      <c r="K7" s="137">
        <f>IS!K7</f>
        <v>4.8570000000000002</v>
      </c>
      <c r="L7" s="137">
        <f>IS!L7</f>
        <v>5.9130000000000003</v>
      </c>
      <c r="M7" s="131">
        <f>SUM(I7:L7)</f>
        <v>23.794</v>
      </c>
      <c r="N7" s="137">
        <f>IS!N7</f>
        <v>33.933999999999997</v>
      </c>
      <c r="O7" s="137">
        <f>IS!O7</f>
        <v>4.7939999999999996</v>
      </c>
      <c r="P7" s="137">
        <f>IS!P7</f>
        <v>7.4649999999999999</v>
      </c>
      <c r="Q7" s="137">
        <f>IS!Q7</f>
        <v>12.144000000000005</v>
      </c>
      <c r="R7" s="131">
        <f>SUM(N7:Q7)</f>
        <v>58.337000000000003</v>
      </c>
      <c r="S7" s="137">
        <f>IS!S7</f>
        <v>4.1310000000000002</v>
      </c>
      <c r="T7" s="137">
        <f>IS!T7</f>
        <v>3.6179999999999999</v>
      </c>
      <c r="U7" s="137">
        <f>IS!U7</f>
        <v>10.805999999999999</v>
      </c>
      <c r="V7" s="137">
        <f>IS!V7</f>
        <v>4.3599999999999994</v>
      </c>
      <c r="W7" s="131">
        <f>SUM(S7:V7)</f>
        <v>22.914999999999999</v>
      </c>
      <c r="X7" s="137">
        <f>IS!X7</f>
        <v>3.9590000000000001</v>
      </c>
      <c r="Y7" s="137">
        <f>IS!Y7</f>
        <v>3.1480000000000001</v>
      </c>
      <c r="Z7" s="137">
        <f>IS!Z7</f>
        <v>3.0880000000000001</v>
      </c>
      <c r="AA7" s="137">
        <f>IS!AA7</f>
        <v>3.8539999999999992</v>
      </c>
      <c r="AB7" s="131">
        <f>SUM(X7:AA7)</f>
        <v>14.048999999999999</v>
      </c>
      <c r="AC7" s="137">
        <f>IS!AC7</f>
        <v>3.069</v>
      </c>
      <c r="AD7" s="93">
        <f>AD35</f>
        <v>2.4403162414751201</v>
      </c>
      <c r="AE7" s="93">
        <f>AE35</f>
        <v>2.3938044960848699</v>
      </c>
      <c r="AF7" s="93">
        <f>AF35</f>
        <v>2.9876044455670616</v>
      </c>
      <c r="AG7" s="131">
        <f>SUM(AC7:AF7)</f>
        <v>10.890725183127051</v>
      </c>
      <c r="AH7" s="93">
        <f>AH35</f>
        <v>3.2224500000000003</v>
      </c>
      <c r="AI7" s="93">
        <f>AI35</f>
        <v>2.5623320535488761</v>
      </c>
      <c r="AJ7" s="93">
        <f t="shared" ref="AJ7:AK7" si="23">AJ35</f>
        <v>2.5134947208891134</v>
      </c>
      <c r="AK7" s="93">
        <f t="shared" si="23"/>
        <v>3.136984667845415</v>
      </c>
      <c r="AL7" s="131">
        <f>SUM(AH7:AK7)</f>
        <v>11.435261442283405</v>
      </c>
      <c r="AM7" s="256"/>
      <c r="AN7" s="93">
        <f>AN35</f>
        <v>0</v>
      </c>
      <c r="AO7" s="93">
        <f>AO35</f>
        <v>0</v>
      </c>
      <c r="AP7" s="93">
        <f t="shared" ref="AP7:AQ7" si="24">AP35</f>
        <v>0</v>
      </c>
      <c r="AQ7" s="93">
        <f t="shared" si="24"/>
        <v>0</v>
      </c>
      <c r="AR7" s="131">
        <f>SUM(AN7:AQ7)</f>
        <v>0</v>
      </c>
      <c r="AS7" s="51"/>
      <c r="AT7" s="51"/>
      <c r="AU7" s="90"/>
      <c r="AV7" s="388">
        <f>AL9/AL13-1</f>
        <v>8.4857947830108582E-2</v>
      </c>
    </row>
    <row r="8" spans="1:48" x14ac:dyDescent="0.35">
      <c r="A8" s="51"/>
      <c r="B8" s="175" t="s">
        <v>39</v>
      </c>
      <c r="C8" s="71"/>
      <c r="D8" s="70"/>
      <c r="E8" s="71"/>
      <c r="F8" s="71"/>
      <c r="G8" s="71"/>
      <c r="H8" s="92"/>
      <c r="I8" s="180">
        <f>I7/D7-1</f>
        <v>1.0132947976878612</v>
      </c>
      <c r="J8" s="180">
        <f t="shared" ref="J8" si="25">J7/E7-1</f>
        <v>-0.3455056179775281</v>
      </c>
      <c r="K8" s="180">
        <f t="shared" ref="K8" si="26">K7/F7-1</f>
        <v>-0.55736808530028248</v>
      </c>
      <c r="L8" s="180">
        <f t="shared" ref="L8" si="27">L7/G7-1</f>
        <v>-0.32484585521808651</v>
      </c>
      <c r="M8" s="77">
        <f>M7/H7-1</f>
        <v>-0.26668104909544799</v>
      </c>
      <c r="N8" s="180">
        <f t="shared" ref="N8" si="28">N7/I7-1</f>
        <v>3.8713752512202122</v>
      </c>
      <c r="O8" s="180">
        <f t="shared" ref="O8" si="29">O7/J7-1</f>
        <v>-0.20864971937933319</v>
      </c>
      <c r="P8" s="180">
        <f t="shared" ref="P8" si="30">P7/K7-1</f>
        <v>0.53695696932262704</v>
      </c>
      <c r="Q8" s="180">
        <f t="shared" ref="Q8:S8" si="31">Q7/L7-1</f>
        <v>1.0537798072044655</v>
      </c>
      <c r="R8" s="77">
        <f t="shared" si="31"/>
        <v>1.4517525426578128</v>
      </c>
      <c r="S8" s="180">
        <f t="shared" si="31"/>
        <v>-0.87826368833618196</v>
      </c>
      <c r="T8" s="180">
        <f t="shared" ref="T8" si="32">T7/O7-1</f>
        <v>-0.24530663329161451</v>
      </c>
      <c r="U8" s="180">
        <f t="shared" ref="U8" si="33">U7/P7-1</f>
        <v>0.44755525787006012</v>
      </c>
      <c r="V8" s="180">
        <f t="shared" ref="V8:X8" si="34">V7/Q7-1</f>
        <v>-0.64097496706192381</v>
      </c>
      <c r="W8" s="77">
        <f t="shared" si="34"/>
        <v>-0.60719611910108506</v>
      </c>
      <c r="X8" s="180">
        <f t="shared" si="34"/>
        <v>-4.1636407649479623E-2</v>
      </c>
      <c r="Y8" s="180">
        <f t="shared" ref="Y8" si="35">Y7/T7-1</f>
        <v>-0.12990602542841345</v>
      </c>
      <c r="Z8" s="180">
        <f t="shared" ref="Z8" si="36">Z7/U7-1</f>
        <v>-0.71423283361095691</v>
      </c>
      <c r="AA8" s="180">
        <f t="shared" ref="AA8:AC8" si="37">AA7/V7-1</f>
        <v>-0.11605504587155968</v>
      </c>
      <c r="AB8" s="77">
        <f t="shared" si="37"/>
        <v>-0.38690813877372898</v>
      </c>
      <c r="AC8" s="180">
        <f t="shared" si="37"/>
        <v>-0.22480424349583228</v>
      </c>
      <c r="AD8" s="180">
        <f t="shared" ref="AD8" si="38">AD7/Y7-1</f>
        <v>-0.22480424349583228</v>
      </c>
      <c r="AE8" s="180">
        <f t="shared" ref="AE8" si="39">AE7/Z7-1</f>
        <v>-0.22480424349583228</v>
      </c>
      <c r="AF8" s="180">
        <f t="shared" ref="AF8:AH8" si="40">AF7/AA7-1</f>
        <v>-0.22480424349583228</v>
      </c>
      <c r="AG8" s="77">
        <f t="shared" si="40"/>
        <v>-0.22480424349583239</v>
      </c>
      <c r="AH8" s="180">
        <f t="shared" si="40"/>
        <v>5.0000000000000044E-2</v>
      </c>
      <c r="AI8" s="180">
        <f t="shared" ref="AI8" si="41">AI7/AD7-1</f>
        <v>5.0000000000000044E-2</v>
      </c>
      <c r="AJ8" s="180">
        <f t="shared" ref="AJ8" si="42">AJ7/AE7-1</f>
        <v>5.0000000000000044E-2</v>
      </c>
      <c r="AK8" s="180">
        <f t="shared" ref="AK8:AL8" si="43">AK7/AF7-1</f>
        <v>5.0000000000000044E-2</v>
      </c>
      <c r="AL8" s="148">
        <f t="shared" si="43"/>
        <v>5.0000000000000044E-2</v>
      </c>
      <c r="AM8" s="315"/>
      <c r="AN8" s="51"/>
      <c r="AO8" s="51"/>
      <c r="AP8" s="51"/>
      <c r="AQ8" s="51"/>
      <c r="AR8" s="68"/>
      <c r="AS8" s="51"/>
      <c r="AT8" s="51"/>
      <c r="AU8" s="90"/>
    </row>
    <row r="9" spans="1:48" x14ac:dyDescent="0.35">
      <c r="A9" s="51"/>
      <c r="B9" s="52" t="s">
        <v>41</v>
      </c>
      <c r="C9" s="51"/>
      <c r="D9" s="322">
        <f>D5+D7</f>
        <v>66.823999999999998</v>
      </c>
      <c r="E9" s="73">
        <f t="shared" ref="E9:AC9" si="44">E5+E7</f>
        <v>74.355000000000004</v>
      </c>
      <c r="F9" s="73">
        <f t="shared" si="44"/>
        <v>77.909000000000006</v>
      </c>
      <c r="G9" s="73">
        <f t="shared" si="44"/>
        <v>83.258999999999986</v>
      </c>
      <c r="H9" s="74">
        <f t="shared" si="44"/>
        <v>302.34699999999998</v>
      </c>
      <c r="I9" s="73">
        <f t="shared" si="44"/>
        <v>94.012</v>
      </c>
      <c r="J9" s="73">
        <f t="shared" si="44"/>
        <v>86.472000000000008</v>
      </c>
      <c r="K9" s="73">
        <f t="shared" si="44"/>
        <v>98.143000000000001</v>
      </c>
      <c r="L9" s="73">
        <f t="shared" si="44"/>
        <v>112.367</v>
      </c>
      <c r="M9" s="74">
        <f t="shared" si="44"/>
        <v>390.99399999999997</v>
      </c>
      <c r="N9" s="73">
        <f t="shared" si="44"/>
        <v>152.316</v>
      </c>
      <c r="O9" s="73">
        <f t="shared" si="44"/>
        <v>142.02600000000001</v>
      </c>
      <c r="P9" s="73">
        <f t="shared" si="44"/>
        <v>158.11600000000001</v>
      </c>
      <c r="Q9" s="73">
        <f t="shared" si="44"/>
        <v>173.02800000000002</v>
      </c>
      <c r="R9" s="138">
        <f t="shared" si="44"/>
        <v>625.48599999999999</v>
      </c>
      <c r="S9" s="73">
        <f t="shared" si="44"/>
        <v>194.13300000000001</v>
      </c>
      <c r="T9" s="73">
        <f t="shared" si="44"/>
        <v>198.2</v>
      </c>
      <c r="U9" s="73">
        <f t="shared" si="44"/>
        <v>210.637</v>
      </c>
      <c r="V9" s="73">
        <f t="shared" si="44"/>
        <v>217.25200000000007</v>
      </c>
      <c r="W9" s="74">
        <f t="shared" si="44"/>
        <v>820.22199999999998</v>
      </c>
      <c r="X9" s="73">
        <f t="shared" si="44"/>
        <v>241.756</v>
      </c>
      <c r="Y9" s="73">
        <f t="shared" si="44"/>
        <v>261.404</v>
      </c>
      <c r="Z9" s="73">
        <f t="shared" si="44"/>
        <v>268.30600000000004</v>
      </c>
      <c r="AA9" s="73">
        <f t="shared" si="44"/>
        <v>311.10499999999996</v>
      </c>
      <c r="AB9" s="74">
        <f t="shared" si="44"/>
        <v>1082.5709999999999</v>
      </c>
      <c r="AC9" s="73">
        <f t="shared" si="44"/>
        <v>367.74100000000004</v>
      </c>
      <c r="AD9" s="73">
        <f>AD5+AD7</f>
        <v>373.6833162414751</v>
      </c>
      <c r="AE9" s="73">
        <f t="shared" ref="AE9:AF9" si="45">AE5+AE7</f>
        <v>353.03852229608492</v>
      </c>
      <c r="AF9" s="73">
        <f t="shared" si="45"/>
        <v>373.99318694556712</v>
      </c>
      <c r="AG9" s="74">
        <f>AG7+AG5</f>
        <v>1468.4560254831272</v>
      </c>
      <c r="AH9" s="73">
        <f>AH5+AH7</f>
        <v>475.8373620000001</v>
      </c>
      <c r="AI9" s="73">
        <f t="shared" ref="AI9:AK9" si="46">AI5+AI7</f>
        <v>463.64613805354878</v>
      </c>
      <c r="AJ9" s="73">
        <f t="shared" si="46"/>
        <v>438.01423422848904</v>
      </c>
      <c r="AK9" s="73">
        <f t="shared" si="46"/>
        <v>455.91219755084541</v>
      </c>
      <c r="AL9" s="74">
        <f>AL7+AL5</f>
        <v>1833.4099318328836</v>
      </c>
      <c r="AM9" s="73"/>
      <c r="AN9" s="73">
        <f>AN5+AN7</f>
        <v>472.61491200000012</v>
      </c>
      <c r="AO9" s="73">
        <f t="shared" ref="AO9:AQ9" si="47">AO5+AO7</f>
        <v>461.08380599999992</v>
      </c>
      <c r="AP9" s="73">
        <f t="shared" si="47"/>
        <v>435.50073950759992</v>
      </c>
      <c r="AQ9" s="73">
        <f t="shared" si="47"/>
        <v>452.77521288299999</v>
      </c>
      <c r="AR9" s="74">
        <f>AR7+AR5</f>
        <v>1821.9746703906001</v>
      </c>
      <c r="AS9" s="51"/>
      <c r="AT9" s="51" t="s">
        <v>36</v>
      </c>
      <c r="AU9" s="90" t="s">
        <v>255</v>
      </c>
    </row>
    <row r="10" spans="1:48" outlineLevel="1" x14ac:dyDescent="0.35">
      <c r="A10" s="52" t="s">
        <v>36</v>
      </c>
      <c r="B10" s="158" t="s">
        <v>254</v>
      </c>
      <c r="C10" s="51"/>
      <c r="D10" s="322"/>
      <c r="E10" s="73"/>
      <c r="F10" s="73"/>
      <c r="G10" s="73"/>
      <c r="H10" s="74"/>
      <c r="I10" s="73"/>
      <c r="J10" s="73"/>
      <c r="K10" s="73"/>
      <c r="L10" s="73"/>
      <c r="M10" s="74"/>
      <c r="N10" s="73"/>
      <c r="O10" s="73"/>
      <c r="P10" s="73"/>
      <c r="Q10" s="73"/>
      <c r="R10" s="138"/>
      <c r="S10" s="73"/>
      <c r="T10" s="73"/>
      <c r="U10" s="73"/>
      <c r="V10" s="73"/>
      <c r="W10" s="74"/>
      <c r="X10" s="73"/>
      <c r="Y10" s="73"/>
      <c r="Z10" s="73"/>
      <c r="AA10" s="73"/>
      <c r="AB10" s="74"/>
      <c r="AC10" s="73"/>
      <c r="AD10" s="78">
        <v>413</v>
      </c>
      <c r="AE10" s="73"/>
      <c r="AF10" s="73"/>
      <c r="AG10" s="183"/>
      <c r="AH10" s="73"/>
      <c r="AI10" s="73"/>
      <c r="AJ10" s="73"/>
      <c r="AK10" s="73"/>
      <c r="AL10" s="74"/>
      <c r="AM10" s="73"/>
      <c r="AN10" s="73"/>
      <c r="AO10" s="73"/>
      <c r="AP10" s="73"/>
      <c r="AQ10" s="73"/>
      <c r="AR10" s="74"/>
      <c r="AS10" s="51"/>
      <c r="AT10" s="51"/>
      <c r="AU10" s="90"/>
    </row>
    <row r="11" spans="1:48" outlineLevel="1" x14ac:dyDescent="0.35">
      <c r="A11" s="51"/>
      <c r="B11" s="52"/>
      <c r="C11" s="51"/>
      <c r="D11" s="322"/>
      <c r="E11" s="73"/>
      <c r="F11" s="73"/>
      <c r="G11" s="73"/>
      <c r="H11" s="74"/>
      <c r="I11" s="73"/>
      <c r="J11" s="73"/>
      <c r="K11" s="73"/>
      <c r="L11" s="73"/>
      <c r="M11" s="74"/>
      <c r="N11" s="73"/>
      <c r="O11" s="73"/>
      <c r="P11" s="73"/>
      <c r="Q11" s="73"/>
      <c r="R11" s="138"/>
      <c r="S11" s="73"/>
      <c r="T11" s="73"/>
      <c r="U11" s="73"/>
      <c r="V11" s="73"/>
      <c r="W11" s="74"/>
      <c r="X11" s="73"/>
      <c r="Y11" s="73"/>
      <c r="Z11" s="73"/>
      <c r="AA11" s="73"/>
      <c r="AB11" s="74"/>
      <c r="AC11" s="73"/>
      <c r="AD11" s="376">
        <f>AD10/AD9-1</f>
        <v>0.10521391255562063</v>
      </c>
      <c r="AE11" s="73"/>
      <c r="AF11" s="73"/>
      <c r="AG11" s="377"/>
      <c r="AH11" s="73"/>
      <c r="AI11" s="73"/>
      <c r="AJ11" s="73"/>
      <c r="AK11" s="73"/>
      <c r="AL11" s="74"/>
      <c r="AM11" s="73"/>
      <c r="AN11" s="73"/>
      <c r="AO11" s="73"/>
      <c r="AP11" s="73"/>
      <c r="AQ11" s="73"/>
      <c r="AR11" s="74"/>
      <c r="AS11" s="51"/>
      <c r="AT11" s="51"/>
      <c r="AU11" s="90"/>
    </row>
    <row r="12" spans="1:48" ht="5.75" customHeight="1" outlineLevel="1" x14ac:dyDescent="0.35">
      <c r="A12" s="51"/>
      <c r="B12" s="52"/>
      <c r="C12" s="51"/>
      <c r="D12" s="322"/>
      <c r="E12" s="73"/>
      <c r="F12" s="73"/>
      <c r="G12" s="73"/>
      <c r="H12" s="74"/>
      <c r="I12" s="73"/>
      <c r="J12" s="73"/>
      <c r="K12" s="73"/>
      <c r="L12" s="73"/>
      <c r="M12" s="74"/>
      <c r="N12" s="73"/>
      <c r="O12" s="73"/>
      <c r="P12" s="73"/>
      <c r="Q12" s="73"/>
      <c r="R12" s="138"/>
      <c r="S12" s="73"/>
      <c r="T12" s="73"/>
      <c r="U12" s="73"/>
      <c r="V12" s="73"/>
      <c r="W12" s="74"/>
      <c r="X12" s="73"/>
      <c r="Y12" s="73"/>
      <c r="Z12" s="73"/>
      <c r="AA12" s="73"/>
      <c r="AB12" s="74"/>
      <c r="AC12" s="73"/>
      <c r="AD12" s="73"/>
      <c r="AE12" s="73"/>
      <c r="AF12" s="73"/>
      <c r="AG12" s="74"/>
      <c r="AH12" s="73"/>
      <c r="AI12" s="73"/>
      <c r="AJ12" s="73"/>
      <c r="AK12" s="73"/>
      <c r="AL12" s="74"/>
      <c r="AM12" s="73"/>
      <c r="AN12" s="73"/>
      <c r="AO12" s="73"/>
      <c r="AP12" s="73"/>
      <c r="AQ12" s="73"/>
      <c r="AR12" s="74"/>
      <c r="AS12" s="51"/>
      <c r="AT12" s="51"/>
      <c r="AU12" s="90"/>
    </row>
    <row r="13" spans="1:48" outlineLevel="1" x14ac:dyDescent="0.35">
      <c r="A13" s="52" t="s">
        <v>36</v>
      </c>
      <c r="B13" s="158" t="s">
        <v>103</v>
      </c>
      <c r="C13" s="51"/>
      <c r="D13" s="322"/>
      <c r="E13" s="73"/>
      <c r="F13" s="73"/>
      <c r="G13" s="73"/>
      <c r="H13" s="74"/>
      <c r="I13" s="73"/>
      <c r="J13" s="73"/>
      <c r="K13" s="73"/>
      <c r="L13" s="73"/>
      <c r="M13" s="74"/>
      <c r="N13" s="73"/>
      <c r="O13" s="73"/>
      <c r="P13" s="73"/>
      <c r="Q13" s="73"/>
      <c r="R13" s="138"/>
      <c r="S13" s="73"/>
      <c r="T13" s="73"/>
      <c r="U13" s="73"/>
      <c r="V13" s="73"/>
      <c r="W13" s="74"/>
      <c r="X13" s="73"/>
      <c r="Y13" s="73"/>
      <c r="Z13" s="73"/>
      <c r="AA13" s="73"/>
      <c r="AB13" s="74"/>
      <c r="AC13" s="73"/>
      <c r="AD13" s="73"/>
      <c r="AE13" s="73"/>
      <c r="AF13" s="73"/>
      <c r="AG13" s="183">
        <v>1460</v>
      </c>
      <c r="AH13" s="73"/>
      <c r="AI13" s="73"/>
      <c r="AJ13" s="73"/>
      <c r="AK13" s="73"/>
      <c r="AL13" s="183">
        <v>1690</v>
      </c>
      <c r="AM13" s="78"/>
      <c r="AN13" s="73"/>
      <c r="AO13" s="73"/>
      <c r="AP13" s="73"/>
      <c r="AQ13" s="73"/>
      <c r="AR13" s="74"/>
      <c r="AS13" s="51"/>
      <c r="AT13" s="51" t="s">
        <v>36</v>
      </c>
      <c r="AU13" s="90" t="s">
        <v>105</v>
      </c>
    </row>
    <row r="14" spans="1:48" outlineLevel="1" x14ac:dyDescent="0.35">
      <c r="A14" s="52"/>
      <c r="B14" s="175" t="s">
        <v>38</v>
      </c>
      <c r="C14" s="51"/>
      <c r="D14" s="322"/>
      <c r="E14" s="73"/>
      <c r="F14" s="73"/>
      <c r="G14" s="73"/>
      <c r="H14" s="74"/>
      <c r="I14" s="73"/>
      <c r="J14" s="73"/>
      <c r="K14" s="73"/>
      <c r="L14" s="73"/>
      <c r="M14" s="74"/>
      <c r="N14" s="73"/>
      <c r="O14" s="73"/>
      <c r="P14" s="73"/>
      <c r="Q14" s="73"/>
      <c r="R14" s="138"/>
      <c r="S14" s="73"/>
      <c r="T14" s="73"/>
      <c r="U14" s="73"/>
      <c r="V14" s="73"/>
      <c r="W14" s="74"/>
      <c r="X14" s="73"/>
      <c r="Y14" s="73"/>
      <c r="Z14" s="73"/>
      <c r="AA14" s="73"/>
      <c r="AB14" s="74"/>
      <c r="AC14" s="73"/>
      <c r="AD14" s="376"/>
      <c r="AE14" s="73"/>
      <c r="AF14" s="73"/>
      <c r="AG14" s="173">
        <f>AG13/AB9-1</f>
        <v>0.34864133622644622</v>
      </c>
      <c r="AH14" s="73"/>
      <c r="AI14" s="73"/>
      <c r="AJ14" s="73"/>
      <c r="AK14" s="73"/>
      <c r="AL14" s="120">
        <f>AL13/1430-1</f>
        <v>0.18181818181818188</v>
      </c>
      <c r="AM14" s="255"/>
      <c r="AN14" s="73"/>
      <c r="AO14" s="73"/>
      <c r="AP14" s="73"/>
      <c r="AQ14" s="73"/>
      <c r="AR14" s="74"/>
      <c r="AS14" s="51"/>
      <c r="AT14" s="51"/>
      <c r="AU14" s="90"/>
    </row>
    <row r="15" spans="1:48" outlineLevel="1" x14ac:dyDescent="0.35">
      <c r="A15" s="51"/>
      <c r="B15" s="175" t="s">
        <v>117</v>
      </c>
      <c r="C15" s="51"/>
      <c r="D15" s="118"/>
      <c r="E15" s="51"/>
      <c r="F15" s="197"/>
      <c r="G15" s="51"/>
      <c r="H15" s="185"/>
      <c r="I15" s="51"/>
      <c r="J15" s="51"/>
      <c r="K15" s="51"/>
      <c r="L15" s="51"/>
      <c r="M15" s="75"/>
      <c r="N15" s="51"/>
      <c r="O15" s="51"/>
      <c r="P15" s="51"/>
      <c r="Q15" s="51"/>
      <c r="R15" s="75"/>
      <c r="S15" s="51"/>
      <c r="T15" s="51"/>
      <c r="U15" s="51"/>
      <c r="V15" s="51"/>
      <c r="W15" s="75"/>
      <c r="X15" s="51"/>
      <c r="Y15" s="51"/>
      <c r="Z15" s="51"/>
      <c r="AA15" s="51"/>
      <c r="AB15" s="75"/>
      <c r="AC15" s="51"/>
      <c r="AD15" s="51"/>
      <c r="AE15" s="51"/>
      <c r="AF15" s="51"/>
      <c r="AG15" s="174">
        <f>AG9/AG13-1</f>
        <v>5.7917982761144238E-3</v>
      </c>
      <c r="AH15" s="51"/>
      <c r="AI15" s="51"/>
      <c r="AJ15" s="51"/>
      <c r="AK15" s="51"/>
      <c r="AL15" s="379">
        <f>AL9/AL13-1</f>
        <v>8.4857947830108582E-2</v>
      </c>
      <c r="AM15" s="381"/>
      <c r="AN15" s="51"/>
      <c r="AO15" s="51"/>
      <c r="AP15" s="51"/>
      <c r="AQ15" s="51"/>
      <c r="AR15" s="75"/>
      <c r="AS15" s="51"/>
      <c r="AT15" s="51"/>
      <c r="AU15" s="90"/>
      <c r="AV15" s="273"/>
    </row>
    <row r="16" spans="1:48" x14ac:dyDescent="0.35">
      <c r="A16" s="51"/>
      <c r="B16" s="192"/>
      <c r="C16" s="51"/>
      <c r="D16" s="118"/>
      <c r="E16" s="51"/>
      <c r="F16" s="197"/>
      <c r="G16" s="51"/>
      <c r="H16" s="185"/>
      <c r="I16" s="51"/>
      <c r="J16" s="51"/>
      <c r="K16" s="51"/>
      <c r="L16" s="51"/>
      <c r="M16" s="75"/>
      <c r="N16" s="51"/>
      <c r="O16" s="51"/>
      <c r="P16" s="51"/>
      <c r="Q16" s="51"/>
      <c r="R16" s="75"/>
      <c r="S16" s="51"/>
      <c r="T16" s="51"/>
      <c r="U16" s="51"/>
      <c r="V16" s="51"/>
      <c r="W16" s="75"/>
      <c r="X16" s="51"/>
      <c r="Y16" s="51"/>
      <c r="Z16" s="51"/>
      <c r="AA16" s="51"/>
      <c r="AB16" s="75"/>
      <c r="AC16" s="51"/>
      <c r="AD16" s="51"/>
      <c r="AE16" s="51"/>
      <c r="AF16" s="51"/>
      <c r="AG16" s="174"/>
      <c r="AH16" s="51"/>
      <c r="AI16" s="51"/>
      <c r="AJ16" s="51"/>
      <c r="AK16" s="51"/>
      <c r="AL16" s="127"/>
      <c r="AM16" s="51"/>
      <c r="AN16" s="51"/>
      <c r="AO16" s="51"/>
      <c r="AP16" s="51"/>
      <c r="AQ16" s="51"/>
      <c r="AR16" s="75"/>
      <c r="AS16" s="51"/>
      <c r="AT16" s="51"/>
      <c r="AU16" s="90"/>
    </row>
    <row r="17" spans="1:50" x14ac:dyDescent="0.35">
      <c r="A17" s="52" t="s">
        <v>36</v>
      </c>
      <c r="B17" s="178" t="s">
        <v>57</v>
      </c>
      <c r="C17" s="357"/>
      <c r="D17" s="358"/>
      <c r="E17" s="115"/>
      <c r="F17" s="115"/>
      <c r="G17" s="115"/>
      <c r="H17" s="116"/>
      <c r="I17" s="115"/>
      <c r="J17" s="115"/>
      <c r="K17" s="115"/>
      <c r="L17" s="115"/>
      <c r="M17" s="116"/>
      <c r="N17" s="115"/>
      <c r="O17" s="115"/>
      <c r="P17" s="115"/>
      <c r="Q17" s="115"/>
      <c r="R17" s="116"/>
      <c r="S17" s="115"/>
      <c r="T17" s="115"/>
      <c r="U17" s="115"/>
      <c r="V17" s="115"/>
      <c r="W17" s="116"/>
      <c r="X17" s="115"/>
      <c r="Y17" s="115"/>
      <c r="Z17" s="115"/>
      <c r="AA17" s="115"/>
      <c r="AB17" s="116"/>
      <c r="AC17" s="115"/>
      <c r="AD17" s="115"/>
      <c r="AE17" s="115"/>
      <c r="AF17" s="115"/>
      <c r="AG17" s="116"/>
      <c r="AH17" s="115"/>
      <c r="AI17" s="115"/>
      <c r="AJ17" s="115"/>
      <c r="AK17" s="115"/>
      <c r="AL17" s="117"/>
      <c r="AM17" s="118"/>
      <c r="AN17" s="115"/>
      <c r="AO17" s="115"/>
      <c r="AP17" s="115"/>
      <c r="AQ17" s="115"/>
      <c r="AR17" s="117"/>
      <c r="AS17" s="51"/>
      <c r="AT17" s="51" t="s">
        <v>36</v>
      </c>
      <c r="AU17" s="90" t="s">
        <v>138</v>
      </c>
    </row>
    <row r="18" spans="1:50" s="19" customFormat="1" ht="13.9" x14ac:dyDescent="0.4">
      <c r="A18" s="52"/>
      <c r="B18" s="140" t="s">
        <v>37</v>
      </c>
      <c r="C18" s="52"/>
      <c r="D18" s="322">
        <f>D5</f>
        <v>63.363999999999997</v>
      </c>
      <c r="E18" s="73">
        <f>E5</f>
        <v>65.099000000000004</v>
      </c>
      <c r="F18" s="73">
        <f>F5</f>
        <v>66.936000000000007</v>
      </c>
      <c r="G18" s="73">
        <f>G5</f>
        <v>74.500999999999976</v>
      </c>
      <c r="H18" s="74">
        <f>SUM(D18:G18)</f>
        <v>269.89999999999998</v>
      </c>
      <c r="I18" s="73">
        <f>I5</f>
        <v>87.046000000000006</v>
      </c>
      <c r="J18" s="73">
        <f>J5</f>
        <v>80.414000000000001</v>
      </c>
      <c r="K18" s="73">
        <f>K5</f>
        <v>93.286000000000001</v>
      </c>
      <c r="L18" s="73">
        <f>L5</f>
        <v>106.45400000000001</v>
      </c>
      <c r="M18" s="74">
        <f>SUM(I18:L18)</f>
        <v>367.2</v>
      </c>
      <c r="N18" s="73">
        <f>N5</f>
        <v>118.38200000000001</v>
      </c>
      <c r="O18" s="73">
        <f>O5</f>
        <v>137.232</v>
      </c>
      <c r="P18" s="73">
        <f>P5</f>
        <v>150.65100000000001</v>
      </c>
      <c r="Q18" s="73">
        <f>Q5</f>
        <v>160.88400000000001</v>
      </c>
      <c r="R18" s="74">
        <f>SUM(N18:Q18)</f>
        <v>567.149</v>
      </c>
      <c r="S18" s="73">
        <f>S5</f>
        <v>190.00200000000001</v>
      </c>
      <c r="T18" s="73">
        <f>T5</f>
        <v>194.58199999999999</v>
      </c>
      <c r="U18" s="73">
        <f>U5</f>
        <v>199.83099999999999</v>
      </c>
      <c r="V18" s="73">
        <f>V5</f>
        <v>212.89200000000005</v>
      </c>
      <c r="W18" s="74">
        <f>SUM(S18:V18)</f>
        <v>797.30700000000002</v>
      </c>
      <c r="X18" s="73">
        <f>X5</f>
        <v>237.797</v>
      </c>
      <c r="Y18" s="73">
        <f>Y5</f>
        <v>258.25599999999997</v>
      </c>
      <c r="Z18" s="73">
        <f>Z5</f>
        <v>265.21800000000002</v>
      </c>
      <c r="AA18" s="73">
        <f>AA5</f>
        <v>307.25099999999998</v>
      </c>
      <c r="AB18" s="74">
        <f>SUM(X18:AA18)</f>
        <v>1068.5219999999999</v>
      </c>
      <c r="AC18" s="73">
        <f>AC5</f>
        <v>364.67200000000003</v>
      </c>
      <c r="AD18" s="73">
        <f>(AD19/1000000)*AD22</f>
        <v>371.24299999999999</v>
      </c>
      <c r="AE18" s="73">
        <f t="shared" ref="AE18:AF18" si="48">(AE19/1000000)*AE22</f>
        <v>350.64471780000002</v>
      </c>
      <c r="AF18" s="73">
        <f t="shared" si="48"/>
        <v>371.00558250000006</v>
      </c>
      <c r="AG18" s="74">
        <f>SUM(AC18:AF18)</f>
        <v>1457.5653003000002</v>
      </c>
      <c r="AH18" s="73">
        <f>(AH19/1000000)*AH22</f>
        <v>472.61491200000012</v>
      </c>
      <c r="AI18" s="73">
        <f t="shared" ref="AI18" si="49">(AI19/1000000)*AI22</f>
        <v>461.08380599999992</v>
      </c>
      <c r="AJ18" s="73">
        <f t="shared" ref="AJ18:AK18" si="50">(AJ19/1000000)*AJ22</f>
        <v>435.50073950759992</v>
      </c>
      <c r="AK18" s="73">
        <f t="shared" si="50"/>
        <v>452.77521288299999</v>
      </c>
      <c r="AL18" s="141">
        <f>SUM(AH18:AK18)</f>
        <v>1821.9746703906001</v>
      </c>
      <c r="AM18" s="73"/>
      <c r="AN18" s="73">
        <f>(AN19/1000000)*AN22</f>
        <v>472.61491200000012</v>
      </c>
      <c r="AO18" s="73">
        <f t="shared" ref="AO18" si="51">(AO19/1000000)*AO22</f>
        <v>461.08380599999992</v>
      </c>
      <c r="AP18" s="73">
        <f t="shared" ref="AP18" si="52">(AP19/1000000)*AP22</f>
        <v>435.50073950759992</v>
      </c>
      <c r="AQ18" s="73">
        <f t="shared" ref="AQ18" si="53">(AQ19/1000000)*AQ22</f>
        <v>452.77521288299999</v>
      </c>
      <c r="AR18" s="141">
        <f>SUM(AN18:AQ18)</f>
        <v>1821.9746703906001</v>
      </c>
      <c r="AS18" s="52"/>
      <c r="AT18" s="52"/>
      <c r="AU18" s="104"/>
    </row>
    <row r="19" spans="1:50" x14ac:dyDescent="0.35">
      <c r="A19" s="51"/>
      <c r="B19" s="142" t="s">
        <v>134</v>
      </c>
      <c r="C19" s="51"/>
      <c r="D19" s="332">
        <v>173400</v>
      </c>
      <c r="E19" s="143">
        <v>174800</v>
      </c>
      <c r="F19" s="143">
        <v>178000</v>
      </c>
      <c r="G19" s="143">
        <v>189700</v>
      </c>
      <c r="H19" s="144">
        <f>SUM(D19:G19)</f>
        <v>715900</v>
      </c>
      <c r="I19" s="143">
        <v>209200</v>
      </c>
      <c r="J19" s="143">
        <v>208400</v>
      </c>
      <c r="K19" s="143">
        <v>226700</v>
      </c>
      <c r="L19" s="143">
        <v>268300</v>
      </c>
      <c r="M19" s="144">
        <f>SUM(I19:L19)</f>
        <v>912600</v>
      </c>
      <c r="N19" s="143">
        <v>300000</v>
      </c>
      <c r="O19" s="143">
        <v>342500</v>
      </c>
      <c r="P19" s="143">
        <v>360700</v>
      </c>
      <c r="Q19" s="143">
        <v>397100</v>
      </c>
      <c r="R19" s="144">
        <f>SUM(N19:Q19)</f>
        <v>1400300</v>
      </c>
      <c r="S19" s="143">
        <v>440900</v>
      </c>
      <c r="T19" s="143">
        <v>446400</v>
      </c>
      <c r="U19" s="143">
        <v>469200</v>
      </c>
      <c r="V19" s="143">
        <v>504500</v>
      </c>
      <c r="W19" s="144">
        <f>SUM(S19:V19)</f>
        <v>1861000</v>
      </c>
      <c r="X19" s="143">
        <v>566000</v>
      </c>
      <c r="Y19" s="143">
        <v>578200</v>
      </c>
      <c r="Z19" s="143">
        <v>575000</v>
      </c>
      <c r="AA19" s="143">
        <v>604200</v>
      </c>
      <c r="AB19" s="144">
        <f>SUM(X19:AA19)</f>
        <v>2323400</v>
      </c>
      <c r="AC19" s="143">
        <v>663500</v>
      </c>
      <c r="AD19" s="145">
        <f>Y19*(1+AD20)</f>
        <v>664930</v>
      </c>
      <c r="AE19" s="145">
        <f>Z19*(1+AE20)</f>
        <v>649749.99999999988</v>
      </c>
      <c r="AF19" s="145">
        <f>AA19*(1+AF20)</f>
        <v>694830</v>
      </c>
      <c r="AG19" s="144">
        <f>SUM(AC19:AF19)</f>
        <v>2673010</v>
      </c>
      <c r="AH19" s="145">
        <f>AC19*(1+AH20)</f>
        <v>796200</v>
      </c>
      <c r="AI19" s="145">
        <f>AD19*(1+AI20)</f>
        <v>764669.49999999988</v>
      </c>
      <c r="AJ19" s="145">
        <f>AE19*(1+AJ20)</f>
        <v>747212.49999999977</v>
      </c>
      <c r="AK19" s="145">
        <f>AF19*(1+AK20)</f>
        <v>785157.89999999991</v>
      </c>
      <c r="AL19" s="146">
        <f>SUM(AH19:AK19)</f>
        <v>3093239.9</v>
      </c>
      <c r="AM19" s="145"/>
      <c r="AN19" s="145">
        <f>AH19*(1+AN20)</f>
        <v>796200</v>
      </c>
      <c r="AO19" s="145">
        <f>AI19*(1+AO20)</f>
        <v>764669.49999999988</v>
      </c>
      <c r="AP19" s="145">
        <f>AJ19*(1+AP20)</f>
        <v>747212.49999999977</v>
      </c>
      <c r="AQ19" s="145">
        <f>AK19*(1+AQ20)</f>
        <v>785157.89999999991</v>
      </c>
      <c r="AR19" s="146">
        <f>SUM(AN19:AQ19)</f>
        <v>3093239.9</v>
      </c>
      <c r="AS19" s="51"/>
      <c r="AT19" s="51"/>
      <c r="AU19" s="90"/>
      <c r="AV19" s="313"/>
    </row>
    <row r="20" spans="1:50" s="26" customFormat="1" ht="13.9" x14ac:dyDescent="0.4">
      <c r="A20" s="71"/>
      <c r="B20" s="147" t="s">
        <v>39</v>
      </c>
      <c r="C20" s="71"/>
      <c r="D20" s="359"/>
      <c r="E20" s="71"/>
      <c r="F20" s="71"/>
      <c r="G20" s="71"/>
      <c r="H20" s="148"/>
      <c r="I20" s="149">
        <f>I19/D19-1</f>
        <v>0.20645905420991917</v>
      </c>
      <c r="J20" s="149">
        <f t="shared" ref="J20:M20" si="54">J19/E19-1</f>
        <v>0.19221967963386732</v>
      </c>
      <c r="K20" s="149">
        <f t="shared" si="54"/>
        <v>0.27359550561797752</v>
      </c>
      <c r="L20" s="149">
        <f t="shared" si="54"/>
        <v>0.41433842909857677</v>
      </c>
      <c r="M20" s="148">
        <f t="shared" si="54"/>
        <v>0.27475904455929601</v>
      </c>
      <c r="N20" s="149">
        <f>N19/I19-1</f>
        <v>0.43403441682600374</v>
      </c>
      <c r="O20" s="149">
        <f t="shared" ref="O20" si="55">O19/J19-1</f>
        <v>0.64347408829174668</v>
      </c>
      <c r="P20" s="149">
        <f t="shared" ref="P20" si="56">P19/K19-1</f>
        <v>0.59108954565505067</v>
      </c>
      <c r="Q20" s="149">
        <f t="shared" ref="Q20" si="57">Q19/L19-1</f>
        <v>0.48005963473723434</v>
      </c>
      <c r="R20" s="148">
        <f t="shared" ref="R20" si="58">R19/M19-1</f>
        <v>0.5344071882533421</v>
      </c>
      <c r="S20" s="149">
        <f>S19/N19-1</f>
        <v>0.46966666666666668</v>
      </c>
      <c r="T20" s="149">
        <f t="shared" ref="T20" si="59">T19/O19-1</f>
        <v>0.30335766423357668</v>
      </c>
      <c r="U20" s="149">
        <f t="shared" ref="U20" si="60">U19/P19-1</f>
        <v>0.30080399223731624</v>
      </c>
      <c r="V20" s="149">
        <f t="shared" ref="V20" si="61">V19/Q19-1</f>
        <v>0.27046084109796031</v>
      </c>
      <c r="W20" s="148">
        <f t="shared" ref="W20" si="62">W19/R19-1</f>
        <v>0.32900092837249151</v>
      </c>
      <c r="X20" s="149">
        <f>X19/S19-1</f>
        <v>0.2837378090269902</v>
      </c>
      <c r="Y20" s="149">
        <f t="shared" ref="Y20" si="63">Y19/T19-1</f>
        <v>0.29525089605734767</v>
      </c>
      <c r="Z20" s="149">
        <f t="shared" ref="Z20" si="64">Z19/U19-1</f>
        <v>0.22549019607843146</v>
      </c>
      <c r="AA20" s="149">
        <f t="shared" ref="AA20" si="65">AA19/V19-1</f>
        <v>0.19762140733399414</v>
      </c>
      <c r="AB20" s="148">
        <f t="shared" ref="AB20:AC20" si="66">AB19/W19-1</f>
        <v>0.24846856528747985</v>
      </c>
      <c r="AC20" s="149">
        <f t="shared" si="66"/>
        <v>0.17226148409893982</v>
      </c>
      <c r="AD20" s="194">
        <v>0.15</v>
      </c>
      <c r="AE20" s="194">
        <v>0.13</v>
      </c>
      <c r="AF20" s="194">
        <v>0.15</v>
      </c>
      <c r="AG20" s="148">
        <f>AG19/AB19-1</f>
        <v>0.15047344409055685</v>
      </c>
      <c r="AH20" s="194">
        <v>0.2</v>
      </c>
      <c r="AI20" s="194">
        <v>0.15</v>
      </c>
      <c r="AJ20" s="194">
        <v>0.15</v>
      </c>
      <c r="AK20" s="194">
        <v>0.13</v>
      </c>
      <c r="AL20" s="151">
        <f>AL19/AG19-1</f>
        <v>0.15721224387488264</v>
      </c>
      <c r="AM20" s="315"/>
      <c r="AN20" s="150"/>
      <c r="AO20" s="150"/>
      <c r="AP20" s="150"/>
      <c r="AQ20" s="150"/>
      <c r="AR20" s="151">
        <f>AR19/AL19-1</f>
        <v>0</v>
      </c>
      <c r="AS20" s="71"/>
      <c r="AT20" s="71"/>
      <c r="AU20" s="73"/>
    </row>
    <row r="21" spans="1:50" s="26" customFormat="1" ht="5.65" customHeight="1" x14ac:dyDescent="0.4">
      <c r="A21" s="71"/>
      <c r="B21" s="147"/>
      <c r="C21" s="71"/>
      <c r="D21" s="359"/>
      <c r="E21" s="71"/>
      <c r="F21" s="71"/>
      <c r="G21" s="71"/>
      <c r="H21" s="148"/>
      <c r="I21" s="149"/>
      <c r="J21" s="149"/>
      <c r="K21" s="149"/>
      <c r="L21" s="149"/>
      <c r="M21" s="148"/>
      <c r="N21" s="149"/>
      <c r="O21" s="149"/>
      <c r="P21" s="149"/>
      <c r="Q21" s="149"/>
      <c r="R21" s="148"/>
      <c r="S21" s="149"/>
      <c r="T21" s="149"/>
      <c r="U21" s="149"/>
      <c r="V21" s="149"/>
      <c r="W21" s="148"/>
      <c r="X21" s="149"/>
      <c r="Y21" s="149"/>
      <c r="Z21" s="149"/>
      <c r="AA21" s="149"/>
      <c r="AB21" s="148"/>
      <c r="AC21" s="71"/>
      <c r="AD21" s="71"/>
      <c r="AE21" s="71"/>
      <c r="AF21" s="71"/>
      <c r="AG21" s="148"/>
      <c r="AH21" s="71"/>
      <c r="AI21" s="71"/>
      <c r="AJ21" s="71"/>
      <c r="AK21" s="71"/>
      <c r="AL21" s="151"/>
      <c r="AM21" s="315"/>
      <c r="AN21" s="71"/>
      <c r="AO21" s="71"/>
      <c r="AP21" s="71"/>
      <c r="AQ21" s="71"/>
      <c r="AR21" s="151"/>
      <c r="AS21" s="71"/>
      <c r="AT21" s="71"/>
      <c r="AU21" s="88"/>
    </row>
    <row r="22" spans="1:50" x14ac:dyDescent="0.35">
      <c r="A22" s="51"/>
      <c r="B22" s="142" t="s">
        <v>135</v>
      </c>
      <c r="C22" s="51"/>
      <c r="D22" s="209">
        <f>D18/(D19/1000000)</f>
        <v>365.42099192618224</v>
      </c>
      <c r="E22" s="210">
        <f>E18/(E19/1000000)</f>
        <v>372.41990846681921</v>
      </c>
      <c r="F22" s="210">
        <f t="shared" ref="F22:G22" si="67">F18/(F19/1000000)</f>
        <v>376.04494382022477</v>
      </c>
      <c r="G22" s="210">
        <f t="shared" si="67"/>
        <v>392.73062730627294</v>
      </c>
      <c r="H22" s="211">
        <f>H18/(H19/1000000)</f>
        <v>377.00796200586672</v>
      </c>
      <c r="I22" s="210">
        <f t="shared" ref="I22:AA22" si="68">I18/(I19/1000000)</f>
        <v>416.08986615678782</v>
      </c>
      <c r="J22" s="210">
        <f t="shared" si="68"/>
        <v>385.8637236084453</v>
      </c>
      <c r="K22" s="210">
        <f t="shared" si="68"/>
        <v>411.495368328187</v>
      </c>
      <c r="L22" s="210">
        <f t="shared" si="68"/>
        <v>396.77226984718607</v>
      </c>
      <c r="M22" s="211">
        <f t="shared" si="68"/>
        <v>402.36686390532543</v>
      </c>
      <c r="N22" s="210">
        <f t="shared" si="68"/>
        <v>394.60666666666668</v>
      </c>
      <c r="O22" s="210">
        <f t="shared" si="68"/>
        <v>400.6773722627737</v>
      </c>
      <c r="P22" s="210">
        <f t="shared" si="68"/>
        <v>417.66287773773217</v>
      </c>
      <c r="Q22" s="210">
        <f t="shared" si="68"/>
        <v>405.14731805590532</v>
      </c>
      <c r="R22" s="211">
        <f t="shared" si="68"/>
        <v>405.01963864886091</v>
      </c>
      <c r="S22" s="210">
        <f t="shared" si="68"/>
        <v>430.94125652075303</v>
      </c>
      <c r="T22" s="210">
        <f t="shared" si="68"/>
        <v>435.89157706093187</v>
      </c>
      <c r="U22" s="210">
        <f t="shared" si="68"/>
        <v>425.89727195225913</v>
      </c>
      <c r="V22" s="210">
        <f t="shared" si="68"/>
        <v>421.98612487611513</v>
      </c>
      <c r="W22" s="211">
        <f t="shared" si="68"/>
        <v>428.42933906501884</v>
      </c>
      <c r="X22" s="210">
        <f t="shared" si="68"/>
        <v>420.13604240282689</v>
      </c>
      <c r="Y22" s="210">
        <f t="shared" si="68"/>
        <v>446.65513663092349</v>
      </c>
      <c r="Z22" s="210">
        <f t="shared" si="68"/>
        <v>461.24869565217398</v>
      </c>
      <c r="AA22" s="210">
        <f t="shared" si="68"/>
        <v>508.52532274081432</v>
      </c>
      <c r="AB22" s="211">
        <f>AB18/(AB19/1000000)</f>
        <v>459.89584230007745</v>
      </c>
      <c r="AC22" s="210">
        <f>AC18/(AC19/1000000)</f>
        <v>549.61868877166546</v>
      </c>
      <c r="AD22" s="210">
        <f>Y22*(1+AD23)</f>
        <v>558.3189207886544</v>
      </c>
      <c r="AE22" s="210">
        <f t="shared" ref="AE22:AF22" si="69">Z22*(1+AE23)</f>
        <v>539.66097391304356</v>
      </c>
      <c r="AF22" s="210">
        <f t="shared" si="69"/>
        <v>533.9515888778551</v>
      </c>
      <c r="AG22" s="211">
        <f>AG18/(AG19/1000000)</f>
        <v>545.28987931208644</v>
      </c>
      <c r="AH22" s="210">
        <f>AC22*(1+AH23)</f>
        <v>593.58818387339875</v>
      </c>
      <c r="AI22" s="210">
        <f t="shared" ref="AI22" si="70">AD22*(1+AI23)</f>
        <v>602.98443445174678</v>
      </c>
      <c r="AJ22" s="210">
        <f t="shared" ref="AJ22" si="71">AE22*(1+AJ23)</f>
        <v>582.83385182608708</v>
      </c>
      <c r="AK22" s="210">
        <f>AF22*(1+AK23)</f>
        <v>576.6677159880835</v>
      </c>
      <c r="AL22" s="212">
        <f>AL18/(AL19/1000000)</f>
        <v>589.01822338144552</v>
      </c>
      <c r="AM22" s="210"/>
      <c r="AN22" s="79">
        <f>AH22*(1+AN23)</f>
        <v>593.58818387339875</v>
      </c>
      <c r="AO22" s="79">
        <f t="shared" ref="AO22" si="72">AI22*(1+AO23)</f>
        <v>602.98443445174678</v>
      </c>
      <c r="AP22" s="79">
        <f t="shared" ref="AP22" si="73">AJ22*(1+AP23)</f>
        <v>582.83385182608708</v>
      </c>
      <c r="AQ22" s="79">
        <f>AK22*(1+AQ23)</f>
        <v>576.6677159880835</v>
      </c>
      <c r="AR22" s="152">
        <f>AR18/(AR19/1000000)</f>
        <v>589.01822338144552</v>
      </c>
      <c r="AS22" s="51"/>
      <c r="AT22" s="51"/>
      <c r="AU22" s="73"/>
      <c r="AV22" s="210"/>
      <c r="AX22" s="73"/>
    </row>
    <row r="23" spans="1:50" s="26" customFormat="1" ht="13.9" x14ac:dyDescent="0.4">
      <c r="A23" s="71"/>
      <c r="B23" s="147" t="s">
        <v>39</v>
      </c>
      <c r="C23" s="71"/>
      <c r="D23" s="360"/>
      <c r="E23" s="149"/>
      <c r="F23" s="149"/>
      <c r="G23" s="149"/>
      <c r="H23" s="148"/>
      <c r="I23" s="149">
        <f>I22/D22-1</f>
        <v>0.13865890397681668</v>
      </c>
      <c r="J23" s="149">
        <f t="shared" ref="J23:N23" si="74">J22/E22-1</f>
        <v>3.6098540480748342E-2</v>
      </c>
      <c r="K23" s="149">
        <f t="shared" si="74"/>
        <v>9.4271775463387053E-2</v>
      </c>
      <c r="L23" s="149">
        <f t="shared" si="74"/>
        <v>1.0291131528586517E-2</v>
      </c>
      <c r="M23" s="148">
        <f t="shared" si="74"/>
        <v>6.7263571210902207E-2</v>
      </c>
      <c r="N23" s="149">
        <f t="shared" si="74"/>
        <v>-5.1631152877023023E-2</v>
      </c>
      <c r="O23" s="149">
        <f t="shared" ref="O23" si="75">O22/J22-1</f>
        <v>3.839088193053497E-2</v>
      </c>
      <c r="P23" s="149">
        <f t="shared" ref="P23" si="76">P22/K22-1</f>
        <v>1.4988040897282451E-2</v>
      </c>
      <c r="Q23" s="149">
        <f t="shared" ref="Q23" si="77">Q22/L22-1</f>
        <v>2.1107947417658091E-2</v>
      </c>
      <c r="R23" s="148">
        <f t="shared" ref="R23:S23" si="78">R22/M22-1</f>
        <v>6.592925465551458E-3</v>
      </c>
      <c r="S23" s="149">
        <f t="shared" si="78"/>
        <v>9.2077992906234973E-2</v>
      </c>
      <c r="T23" s="149">
        <f t="shared" ref="T23" si="79">T22/O22-1</f>
        <v>8.7886681993770921E-2</v>
      </c>
      <c r="U23" s="149">
        <f t="shared" ref="U23" si="80">U22/P22-1</f>
        <v>1.971540841534325E-2</v>
      </c>
      <c r="V23" s="149">
        <f t="shared" ref="V23" si="81">V22/Q22-1</f>
        <v>4.1562182617943977E-2</v>
      </c>
      <c r="W23" s="148">
        <f t="shared" ref="W23" si="82">W22/R22-1</f>
        <v>5.7798926724275113E-2</v>
      </c>
      <c r="X23" s="149">
        <f t="shared" ref="X23" si="83">X22/S22-1</f>
        <v>-2.5073519776600439E-2</v>
      </c>
      <c r="Y23" s="149">
        <f t="shared" ref="Y23" si="84">Y22/T22-1</f>
        <v>2.4693203852587997E-2</v>
      </c>
      <c r="Z23" s="149">
        <f t="shared" ref="Z23" si="85">Z22/U22-1</f>
        <v>8.3004578869144696E-2</v>
      </c>
      <c r="AA23" s="149">
        <f t="shared" ref="AA23" si="86">AA22/V22-1</f>
        <v>0.20507593203474395</v>
      </c>
      <c r="AB23" s="148">
        <f t="shared" ref="AB23" si="87">AB22/W22-1</f>
        <v>7.3446191392329441E-2</v>
      </c>
      <c r="AC23" s="149">
        <f>AC22/X22-1</f>
        <v>0.30819218848329721</v>
      </c>
      <c r="AD23" s="194">
        <v>0.25</v>
      </c>
      <c r="AE23" s="194">
        <v>0.17</v>
      </c>
      <c r="AF23" s="194">
        <v>0.05</v>
      </c>
      <c r="AG23" s="148">
        <f t="shared" ref="AG23" si="88">AG22/AB22-1</f>
        <v>0.1856812546617681</v>
      </c>
      <c r="AH23" s="194">
        <v>0.08</v>
      </c>
      <c r="AI23" s="194">
        <f>AH23</f>
        <v>0.08</v>
      </c>
      <c r="AJ23" s="194">
        <f>AI23</f>
        <v>0.08</v>
      </c>
      <c r="AK23" s="194">
        <f>AJ23</f>
        <v>0.08</v>
      </c>
      <c r="AL23" s="151">
        <f>AL22/AG22-1</f>
        <v>8.0192840044133629E-2</v>
      </c>
      <c r="AM23" s="315"/>
      <c r="AN23" s="150"/>
      <c r="AO23" s="150"/>
      <c r="AP23" s="150"/>
      <c r="AQ23" s="150"/>
      <c r="AR23" s="151"/>
      <c r="AS23" s="71"/>
      <c r="AT23" s="71"/>
      <c r="AU23" s="88"/>
      <c r="AV23" s="73"/>
      <c r="AX23" s="145"/>
    </row>
    <row r="24" spans="1:50" ht="5.75" customHeight="1" x14ac:dyDescent="0.35">
      <c r="A24" s="51"/>
      <c r="B24" s="118"/>
      <c r="C24" s="51"/>
      <c r="D24" s="118"/>
      <c r="E24" s="51"/>
      <c r="F24" s="51"/>
      <c r="G24" s="51"/>
      <c r="H24" s="75"/>
      <c r="I24" s="51"/>
      <c r="J24" s="51"/>
      <c r="K24" s="51"/>
      <c r="L24" s="51"/>
      <c r="M24" s="75"/>
      <c r="N24" s="51"/>
      <c r="O24" s="51"/>
      <c r="P24" s="51"/>
      <c r="Q24" s="51"/>
      <c r="R24" s="75"/>
      <c r="S24" s="51"/>
      <c r="T24" s="51"/>
      <c r="U24" s="51"/>
      <c r="V24" s="51"/>
      <c r="W24" s="75"/>
      <c r="X24" s="51"/>
      <c r="Y24" s="51"/>
      <c r="Z24" s="51"/>
      <c r="AA24" s="51"/>
      <c r="AB24" s="75"/>
      <c r="AC24" s="51"/>
      <c r="AD24" s="51"/>
      <c r="AE24" s="51"/>
      <c r="AF24" s="51"/>
      <c r="AG24" s="75"/>
      <c r="AH24" s="51"/>
      <c r="AI24" s="51"/>
      <c r="AJ24" s="51"/>
      <c r="AK24" s="51"/>
      <c r="AL24" s="121"/>
      <c r="AM24" s="51"/>
      <c r="AN24" s="51"/>
      <c r="AO24" s="51"/>
      <c r="AP24" s="51"/>
      <c r="AQ24" s="51"/>
      <c r="AR24" s="121"/>
      <c r="AS24" s="51"/>
      <c r="AT24" s="51"/>
      <c r="AU24" s="90"/>
    </row>
    <row r="25" spans="1:50" s="19" customFormat="1" ht="13.9" x14ac:dyDescent="0.4">
      <c r="A25" s="52"/>
      <c r="B25" s="140" t="s">
        <v>81</v>
      </c>
      <c r="C25" s="52"/>
      <c r="D25" s="331">
        <v>41.604999999999997</v>
      </c>
      <c r="E25" s="78">
        <v>41.381999999999998</v>
      </c>
      <c r="F25" s="78">
        <v>40.137999999999998</v>
      </c>
      <c r="G25" s="78">
        <f>162.604-SUM(D25:F25)</f>
        <v>39.479000000000013</v>
      </c>
      <c r="H25" s="74">
        <f>SUM(D25:G25)</f>
        <v>162.60400000000001</v>
      </c>
      <c r="I25" s="78">
        <v>41.52</v>
      </c>
      <c r="J25" s="78">
        <v>42.731000000000002</v>
      </c>
      <c r="K25" s="78">
        <v>46.872999999999998</v>
      </c>
      <c r="L25" s="78">
        <f>185.865-SUM(I25:K25)</f>
        <v>54.741000000000014</v>
      </c>
      <c r="M25" s="74">
        <f>SUM(I25:L25)</f>
        <v>185.86500000000001</v>
      </c>
      <c r="N25" s="78">
        <v>61.322000000000003</v>
      </c>
      <c r="O25" s="78">
        <v>73.227000000000004</v>
      </c>
      <c r="P25" s="78">
        <v>76.837999999999994</v>
      </c>
      <c r="Q25" s="78">
        <f>302.663-SUM(N25:P25)</f>
        <v>91.27600000000001</v>
      </c>
      <c r="R25" s="74">
        <f>SUM(N25:Q25)</f>
        <v>302.66300000000001</v>
      </c>
      <c r="S25" s="78">
        <v>102.67</v>
      </c>
      <c r="T25" s="78">
        <v>109.23699999999999</v>
      </c>
      <c r="U25" s="78">
        <v>115.43600000000001</v>
      </c>
      <c r="V25" s="78">
        <f>453.632-SUM(S25:U25)</f>
        <v>126.28900000000004</v>
      </c>
      <c r="W25" s="74">
        <f>SUM(S25:V25)</f>
        <v>453.63200000000001</v>
      </c>
      <c r="X25" s="78">
        <v>147.75399999999999</v>
      </c>
      <c r="Y25" s="78">
        <v>142.80799999999999</v>
      </c>
      <c r="Z25" s="78">
        <v>146.96199999999999</v>
      </c>
      <c r="AA25" s="78">
        <f>588.564-SUM(X25:Z25)</f>
        <v>151.03999999999996</v>
      </c>
      <c r="AB25" s="74">
        <f>SUM(X25:AA25)</f>
        <v>588.56399999999996</v>
      </c>
      <c r="AC25" s="78">
        <v>158.833</v>
      </c>
      <c r="AD25" s="73">
        <f>(AD26/1000000)*AD29</f>
        <v>163.40805399999999</v>
      </c>
      <c r="AE25" s="73">
        <f t="shared" ref="AE25:AF25" si="89">(AE26/1000000)*AE29</f>
        <v>161.91538349999999</v>
      </c>
      <c r="AF25" s="73">
        <f t="shared" si="89"/>
        <v>165.01119999999995</v>
      </c>
      <c r="AG25" s="74">
        <f>SUM(AC25:AF25)</f>
        <v>649.16763749999984</v>
      </c>
      <c r="AH25" s="73">
        <f>(AH26/1000000)*AH29</f>
        <v>200.12958</v>
      </c>
      <c r="AI25" s="73">
        <f t="shared" ref="AI25" si="90">(AI26/1000000)*AI29</f>
        <v>186.04006947899995</v>
      </c>
      <c r="AJ25" s="73">
        <f t="shared" ref="AJ25:AK25" si="91">(AJ26/1000000)*AJ29</f>
        <v>184.34066411474993</v>
      </c>
      <c r="AK25" s="73">
        <f t="shared" si="91"/>
        <v>184.59802943999992</v>
      </c>
      <c r="AL25" s="141">
        <f>SUM(AH25:AK25)</f>
        <v>755.10834303374986</v>
      </c>
      <c r="AM25" s="73"/>
      <c r="AN25" s="73">
        <f>(AN26/1000000)*AN29</f>
        <v>200.12958</v>
      </c>
      <c r="AO25" s="73">
        <f t="shared" ref="AO25" si="92">(AO26/1000000)*AO29</f>
        <v>186.04006947899995</v>
      </c>
      <c r="AP25" s="73">
        <f t="shared" ref="AP25" si="93">(AP26/1000000)*AP29</f>
        <v>184.34066411474993</v>
      </c>
      <c r="AQ25" s="73">
        <f t="shared" ref="AQ25" si="94">(AQ26/1000000)*AQ29</f>
        <v>184.59802943999992</v>
      </c>
      <c r="AR25" s="141">
        <f>SUM(AN25:AQ25)</f>
        <v>755.10834303374986</v>
      </c>
      <c r="AS25" s="52"/>
      <c r="AT25" s="52"/>
      <c r="AU25" s="104"/>
      <c r="AX25" s="145"/>
    </row>
    <row r="26" spans="1:50" x14ac:dyDescent="0.35">
      <c r="A26" s="51"/>
      <c r="B26" s="142" t="s">
        <v>106</v>
      </c>
      <c r="C26" s="51"/>
      <c r="D26" s="324">
        <f>D19</f>
        <v>173400</v>
      </c>
      <c r="E26" s="145">
        <f>E19</f>
        <v>174800</v>
      </c>
      <c r="F26" s="145">
        <f>F19</f>
        <v>178000</v>
      </c>
      <c r="G26" s="145">
        <f>G19</f>
        <v>189700</v>
      </c>
      <c r="H26" s="144">
        <f>H19</f>
        <v>715900</v>
      </c>
      <c r="I26" s="145">
        <f t="shared" ref="I26:AB26" si="95">I19</f>
        <v>209200</v>
      </c>
      <c r="J26" s="145">
        <f t="shared" si="95"/>
        <v>208400</v>
      </c>
      <c r="K26" s="145">
        <f t="shared" si="95"/>
        <v>226700</v>
      </c>
      <c r="L26" s="145">
        <f t="shared" si="95"/>
        <v>268300</v>
      </c>
      <c r="M26" s="144">
        <f t="shared" si="95"/>
        <v>912600</v>
      </c>
      <c r="N26" s="145">
        <f t="shared" si="95"/>
        <v>300000</v>
      </c>
      <c r="O26" s="145">
        <f t="shared" si="95"/>
        <v>342500</v>
      </c>
      <c r="P26" s="145">
        <f t="shared" si="95"/>
        <v>360700</v>
      </c>
      <c r="Q26" s="145">
        <f t="shared" si="95"/>
        <v>397100</v>
      </c>
      <c r="R26" s="144">
        <f t="shared" si="95"/>
        <v>1400300</v>
      </c>
      <c r="S26" s="145">
        <f t="shared" si="95"/>
        <v>440900</v>
      </c>
      <c r="T26" s="145">
        <f t="shared" si="95"/>
        <v>446400</v>
      </c>
      <c r="U26" s="145">
        <f t="shared" si="95"/>
        <v>469200</v>
      </c>
      <c r="V26" s="145">
        <f t="shared" si="95"/>
        <v>504500</v>
      </c>
      <c r="W26" s="144">
        <f t="shared" si="95"/>
        <v>1861000</v>
      </c>
      <c r="X26" s="145">
        <f t="shared" si="95"/>
        <v>566000</v>
      </c>
      <c r="Y26" s="145">
        <f t="shared" si="95"/>
        <v>578200</v>
      </c>
      <c r="Z26" s="145">
        <f t="shared" si="95"/>
        <v>575000</v>
      </c>
      <c r="AA26" s="145">
        <f t="shared" si="95"/>
        <v>604200</v>
      </c>
      <c r="AB26" s="144">
        <f t="shared" si="95"/>
        <v>2323400</v>
      </c>
      <c r="AC26" s="153">
        <f>AC19</f>
        <v>663500</v>
      </c>
      <c r="AD26" s="153">
        <f>Y26*(1+AD27)</f>
        <v>664930</v>
      </c>
      <c r="AE26" s="153">
        <f t="shared" ref="AE26:AF26" si="96">Z26*(1+AE27)</f>
        <v>649749.99999999988</v>
      </c>
      <c r="AF26" s="153">
        <f t="shared" si="96"/>
        <v>694830</v>
      </c>
      <c r="AG26" s="154">
        <f>SUM(AC26:AF26)</f>
        <v>2673010</v>
      </c>
      <c r="AH26" s="153">
        <f>AC26*(1+AH27)</f>
        <v>796200</v>
      </c>
      <c r="AI26" s="153">
        <f t="shared" ref="AI26" si="97">AD26*(1+AI27)</f>
        <v>764669.49999999988</v>
      </c>
      <c r="AJ26" s="153">
        <f t="shared" ref="AJ26:AK26" si="98">AE26*(1+AJ27)</f>
        <v>747212.49999999977</v>
      </c>
      <c r="AK26" s="153">
        <f t="shared" si="98"/>
        <v>785157.89999999991</v>
      </c>
      <c r="AL26" s="155">
        <f>SUM(AH26:AK26)</f>
        <v>3093239.9</v>
      </c>
      <c r="AM26" s="153"/>
      <c r="AN26" s="153">
        <f>AH26*(1+AN27)</f>
        <v>796200</v>
      </c>
      <c r="AO26" s="153">
        <f t="shared" ref="AO26" si="99">AI26*(1+AO27)</f>
        <v>764669.49999999988</v>
      </c>
      <c r="AP26" s="153">
        <f t="shared" ref="AP26" si="100">AJ26*(1+AP27)</f>
        <v>747212.49999999977</v>
      </c>
      <c r="AQ26" s="153">
        <f t="shared" ref="AQ26" si="101">AK26*(1+AQ27)</f>
        <v>785157.89999999991</v>
      </c>
      <c r="AR26" s="155">
        <f>SUM(AN26:AQ26)</f>
        <v>3093239.9</v>
      </c>
      <c r="AS26" s="51"/>
      <c r="AT26" s="51"/>
      <c r="AU26" s="90"/>
    </row>
    <row r="27" spans="1:50" x14ac:dyDescent="0.35">
      <c r="A27" s="51"/>
      <c r="B27" s="147" t="s">
        <v>38</v>
      </c>
      <c r="C27" s="51"/>
      <c r="D27" s="118"/>
      <c r="E27" s="51"/>
      <c r="F27" s="51"/>
      <c r="G27" s="51"/>
      <c r="H27" s="75"/>
      <c r="I27" s="149">
        <f>I26/D26-1</f>
        <v>0.20645905420991917</v>
      </c>
      <c r="J27" s="149">
        <f t="shared" ref="J27" si="102">J26/E26-1</f>
        <v>0.19221967963386732</v>
      </c>
      <c r="K27" s="149">
        <f t="shared" ref="K27" si="103">K26/F26-1</f>
        <v>0.27359550561797752</v>
      </c>
      <c r="L27" s="149">
        <f t="shared" ref="L27" si="104">L26/G26-1</f>
        <v>0.41433842909857677</v>
      </c>
      <c r="M27" s="148">
        <f t="shared" ref="M27:N27" si="105">M26/H26-1</f>
        <v>0.27475904455929601</v>
      </c>
      <c r="N27" s="149">
        <f t="shared" si="105"/>
        <v>0.43403441682600374</v>
      </c>
      <c r="O27" s="149">
        <f t="shared" ref="O27" si="106">O26/J26-1</f>
        <v>0.64347408829174668</v>
      </c>
      <c r="P27" s="149">
        <f t="shared" ref="P27" si="107">P26/K26-1</f>
        <v>0.59108954565505067</v>
      </c>
      <c r="Q27" s="149">
        <f t="shared" ref="Q27" si="108">Q26/L26-1</f>
        <v>0.48005963473723434</v>
      </c>
      <c r="R27" s="148">
        <f t="shared" ref="R27:S27" si="109">R26/M26-1</f>
        <v>0.5344071882533421</v>
      </c>
      <c r="S27" s="149">
        <f t="shared" si="109"/>
        <v>0.46966666666666668</v>
      </c>
      <c r="T27" s="149">
        <f t="shared" ref="T27" si="110">T26/O26-1</f>
        <v>0.30335766423357668</v>
      </c>
      <c r="U27" s="149">
        <f t="shared" ref="U27" si="111">U26/P26-1</f>
        <v>0.30080399223731624</v>
      </c>
      <c r="V27" s="149">
        <f t="shared" ref="V27" si="112">V26/Q26-1</f>
        <v>0.27046084109796031</v>
      </c>
      <c r="W27" s="148">
        <f t="shared" ref="W27:X27" si="113">W26/R26-1</f>
        <v>0.32900092837249151</v>
      </c>
      <c r="X27" s="149">
        <f t="shared" si="113"/>
        <v>0.2837378090269902</v>
      </c>
      <c r="Y27" s="149">
        <f t="shared" ref="Y27" si="114">Y26/T26-1</f>
        <v>0.29525089605734767</v>
      </c>
      <c r="Z27" s="149">
        <f t="shared" ref="Z27" si="115">Z26/U26-1</f>
        <v>0.22549019607843146</v>
      </c>
      <c r="AA27" s="149">
        <f t="shared" ref="AA27" si="116">AA26/V26-1</f>
        <v>0.19762140733399414</v>
      </c>
      <c r="AB27" s="148">
        <f t="shared" ref="AB27:AC27" si="117">AB26/W26-1</f>
        <v>0.24846856528747985</v>
      </c>
      <c r="AC27" s="149">
        <f t="shared" si="117"/>
        <v>0.17226148409893982</v>
      </c>
      <c r="AD27" s="156">
        <f>AD20</f>
        <v>0.15</v>
      </c>
      <c r="AE27" s="156">
        <f>AE20</f>
        <v>0.13</v>
      </c>
      <c r="AF27" s="156">
        <f>AF20</f>
        <v>0.15</v>
      </c>
      <c r="AG27" s="148">
        <f>AG25/AB25-1</f>
        <v>0.10296864487124568</v>
      </c>
      <c r="AH27" s="156">
        <f>AH20</f>
        <v>0.2</v>
      </c>
      <c r="AI27" s="156">
        <f>AI20</f>
        <v>0.15</v>
      </c>
      <c r="AJ27" s="156">
        <f>AJ20</f>
        <v>0.15</v>
      </c>
      <c r="AK27" s="156">
        <f>AK20</f>
        <v>0.13</v>
      </c>
      <c r="AL27" s="151">
        <f>AL26/AG26-1</f>
        <v>0.15721224387488264</v>
      </c>
      <c r="AM27" s="315"/>
      <c r="AN27" s="156">
        <f>AN20</f>
        <v>0</v>
      </c>
      <c r="AO27" s="156">
        <f>AO20</f>
        <v>0</v>
      </c>
      <c r="AP27" s="156">
        <f>AP20</f>
        <v>0</v>
      </c>
      <c r="AQ27" s="156">
        <f>AQ20</f>
        <v>0</v>
      </c>
      <c r="AR27" s="151">
        <f>AR26/AL26-1</f>
        <v>0</v>
      </c>
      <c r="AS27" s="51"/>
      <c r="AT27" s="51"/>
      <c r="AU27" s="90"/>
    </row>
    <row r="28" spans="1:50" ht="5.75" customHeight="1" x14ac:dyDescent="0.35">
      <c r="A28" s="51"/>
      <c r="B28" s="147"/>
      <c r="C28" s="51"/>
      <c r="D28" s="118"/>
      <c r="E28" s="51"/>
      <c r="F28" s="51"/>
      <c r="G28" s="51"/>
      <c r="H28" s="75"/>
      <c r="I28" s="51"/>
      <c r="J28" s="51"/>
      <c r="K28" s="51"/>
      <c r="L28" s="51"/>
      <c r="M28" s="75"/>
      <c r="N28" s="51"/>
      <c r="O28" s="51"/>
      <c r="P28" s="51"/>
      <c r="Q28" s="51"/>
      <c r="R28" s="75"/>
      <c r="S28" s="51"/>
      <c r="T28" s="51"/>
      <c r="U28" s="51"/>
      <c r="V28" s="51"/>
      <c r="W28" s="75"/>
      <c r="X28" s="51"/>
      <c r="Y28" s="51"/>
      <c r="Z28" s="51"/>
      <c r="AA28" s="51"/>
      <c r="AB28" s="75"/>
      <c r="AC28" s="51"/>
      <c r="AD28" s="51"/>
      <c r="AE28" s="51"/>
      <c r="AF28" s="51"/>
      <c r="AG28" s="75"/>
      <c r="AH28" s="51"/>
      <c r="AI28" s="51"/>
      <c r="AJ28" s="51"/>
      <c r="AK28" s="51"/>
      <c r="AL28" s="121"/>
      <c r="AM28" s="51"/>
      <c r="AN28" s="51"/>
      <c r="AO28" s="51"/>
      <c r="AP28" s="51"/>
      <c r="AQ28" s="51"/>
      <c r="AR28" s="121"/>
      <c r="AS28" s="51"/>
      <c r="AT28" s="51"/>
      <c r="AU28" s="90"/>
    </row>
    <row r="29" spans="1:50" x14ac:dyDescent="0.35">
      <c r="A29" s="51"/>
      <c r="B29" s="142" t="s">
        <v>78</v>
      </c>
      <c r="C29" s="51"/>
      <c r="D29" s="209">
        <f>D25/(D26/1000000)</f>
        <v>239.93656286043827</v>
      </c>
      <c r="E29" s="210">
        <f>E25/(E26/1000000)</f>
        <v>236.7391304347826</v>
      </c>
      <c r="F29" s="210">
        <f t="shared" ref="F29:G29" si="118">F25/(F26/1000000)</f>
        <v>225.49438202247191</v>
      </c>
      <c r="G29" s="210">
        <f t="shared" si="118"/>
        <v>208.11280969952563</v>
      </c>
      <c r="H29" s="211">
        <f>H25/(H26/1000000)</f>
        <v>227.13228104483869</v>
      </c>
      <c r="I29" s="210">
        <f>I25/(I26/1000000)</f>
        <v>198.47036328871894</v>
      </c>
      <c r="J29" s="210">
        <f>J25/(J26/1000000)</f>
        <v>205.04318618042228</v>
      </c>
      <c r="K29" s="210">
        <f t="shared" ref="K29:L29" si="119">K25/(K26/1000000)</f>
        <v>206.76224084693425</v>
      </c>
      <c r="L29" s="210">
        <f t="shared" si="119"/>
        <v>204.02907193440186</v>
      </c>
      <c r="M29" s="211">
        <f>M25/(M26/1000000)</f>
        <v>203.66535174227485</v>
      </c>
      <c r="N29" s="210">
        <f t="shared" ref="N29:AC29" si="120">N25/(N26/1000000)</f>
        <v>204.40666666666669</v>
      </c>
      <c r="O29" s="210">
        <f t="shared" si="120"/>
        <v>213.80145985401458</v>
      </c>
      <c r="P29" s="210">
        <f t="shared" si="120"/>
        <v>213.0246742445245</v>
      </c>
      <c r="Q29" s="210">
        <f t="shared" si="120"/>
        <v>229.85645933014357</v>
      </c>
      <c r="R29" s="211">
        <f t="shared" si="120"/>
        <v>216.14154109833606</v>
      </c>
      <c r="S29" s="210">
        <f t="shared" si="120"/>
        <v>232.86459514629166</v>
      </c>
      <c r="T29" s="210">
        <f t="shared" si="120"/>
        <v>244.70654121863797</v>
      </c>
      <c r="U29" s="210">
        <f t="shared" si="120"/>
        <v>246.02728047740837</v>
      </c>
      <c r="V29" s="210">
        <f t="shared" si="120"/>
        <v>250.32507433102091</v>
      </c>
      <c r="W29" s="211">
        <f t="shared" si="120"/>
        <v>243.75711982804944</v>
      </c>
      <c r="X29" s="210">
        <f t="shared" si="120"/>
        <v>261.0494699646643</v>
      </c>
      <c r="Y29" s="210">
        <f t="shared" si="120"/>
        <v>246.98720166032513</v>
      </c>
      <c r="Z29" s="210">
        <f t="shared" si="120"/>
        <v>255.58608695652174</v>
      </c>
      <c r="AA29" s="210">
        <f t="shared" si="120"/>
        <v>249.98344918901023</v>
      </c>
      <c r="AB29" s="211">
        <f t="shared" si="120"/>
        <v>253.32013428596022</v>
      </c>
      <c r="AC29" s="210">
        <f t="shared" si="120"/>
        <v>239.38658628485305</v>
      </c>
      <c r="AD29" s="210">
        <f>Y29*(1+AD30)</f>
        <v>245.75226565202351</v>
      </c>
      <c r="AE29" s="210">
        <f t="shared" ref="AE29:AF29" si="121">Z29*(1+AE30)</f>
        <v>249.19643478260869</v>
      </c>
      <c r="AF29" s="210">
        <f t="shared" si="121"/>
        <v>237.4842767295597</v>
      </c>
      <c r="AG29" s="211">
        <f>AG25/(AG26/1000000)</f>
        <v>242.86016045581565</v>
      </c>
      <c r="AH29" s="210">
        <f>AC29*(1+AH30)</f>
        <v>251.35591559909571</v>
      </c>
      <c r="AI29" s="210">
        <f>AD29*(1+AI30)</f>
        <v>243.29474299550327</v>
      </c>
      <c r="AJ29" s="210">
        <f t="shared" ref="AJ29" si="122">AE29*(1+AJ30)</f>
        <v>246.70447043478259</v>
      </c>
      <c r="AK29" s="210">
        <f t="shared" ref="AK29" si="123">AF29*(1+AK30)</f>
        <v>235.10943396226409</v>
      </c>
      <c r="AL29" s="212">
        <f>AL25/(AL26/1000000)</f>
        <v>244.11567400050345</v>
      </c>
      <c r="AM29" s="210"/>
      <c r="AN29" s="79">
        <f>AH29*(1+AN30)</f>
        <v>251.35591559909571</v>
      </c>
      <c r="AO29" s="79">
        <f>AI29*(1+AO30)</f>
        <v>243.29474299550327</v>
      </c>
      <c r="AP29" s="79">
        <f t="shared" ref="AP29" si="124">AJ29*(1+AP30)</f>
        <v>246.70447043478259</v>
      </c>
      <c r="AQ29" s="79">
        <f t="shared" ref="AQ29" si="125">AK29*(1+AQ30)</f>
        <v>235.10943396226409</v>
      </c>
      <c r="AR29" s="152">
        <f>AR25/(AR26/1000000)</f>
        <v>244.11567400050345</v>
      </c>
      <c r="AS29" s="51"/>
      <c r="AT29" s="51"/>
      <c r="AU29" s="90"/>
    </row>
    <row r="30" spans="1:50" x14ac:dyDescent="0.35">
      <c r="A30" s="51"/>
      <c r="B30" s="147" t="s">
        <v>38</v>
      </c>
      <c r="C30" s="51"/>
      <c r="D30" s="118"/>
      <c r="E30" s="51"/>
      <c r="F30" s="51"/>
      <c r="G30" s="51"/>
      <c r="H30" s="75"/>
      <c r="I30" s="149">
        <f>I29/D29-1</f>
        <v>-0.17282151197539075</v>
      </c>
      <c r="J30" s="149">
        <f t="shared" ref="J30:N30" si="126">J29/E29-1</f>
        <v>-0.13388553128563585</v>
      </c>
      <c r="K30" s="149">
        <f t="shared" si="126"/>
        <v>-8.3071431791462036E-2</v>
      </c>
      <c r="L30" s="149">
        <f t="shared" si="126"/>
        <v>-1.9622712177207569E-2</v>
      </c>
      <c r="M30" s="148">
        <f t="shared" si="126"/>
        <v>-0.10331833588168471</v>
      </c>
      <c r="N30" s="149">
        <f t="shared" si="126"/>
        <v>2.9910276172125938E-2</v>
      </c>
      <c r="O30" s="149">
        <f t="shared" ref="O30" si="127">O29/J29-1</f>
        <v>4.2714287837322562E-2</v>
      </c>
      <c r="P30" s="149">
        <f t="shared" ref="P30" si="128">P29/K29-1</f>
        <v>3.0288090184833694E-2</v>
      </c>
      <c r="Q30" s="149">
        <f t="shared" ref="Q30" si="129">Q29/L29-1</f>
        <v>0.12658680035581193</v>
      </c>
      <c r="R30" s="148">
        <f t="shared" ref="R30:S30" si="130">R29/M29-1</f>
        <v>6.1258281044529461E-2</v>
      </c>
      <c r="S30" s="149">
        <f t="shared" si="130"/>
        <v>0.13922211512813498</v>
      </c>
      <c r="T30" s="149">
        <f t="shared" ref="T30" si="131">T29/O29-1</f>
        <v>0.14455037578193175</v>
      </c>
      <c r="U30" s="149">
        <f t="shared" ref="U30" si="132">U29/P29-1</f>
        <v>0.15492386668316738</v>
      </c>
      <c r="V30" s="149">
        <f t="shared" ref="V30" si="133">V29/Q29-1</f>
        <v>8.9049553188662811E-2</v>
      </c>
      <c r="W30" s="148">
        <f t="shared" ref="W30:X30" si="134">W29/R29-1</f>
        <v>0.12776617853922567</v>
      </c>
      <c r="X30" s="149">
        <f t="shared" si="134"/>
        <v>0.12103546612857197</v>
      </c>
      <c r="Y30" s="149">
        <f t="shared" ref="Y30" si="135">Y29/T29-1</f>
        <v>9.3199815187998691E-3</v>
      </c>
      <c r="Z30" s="149">
        <f t="shared" ref="Z30" si="136">Z29/U29-1</f>
        <v>3.8852628296198732E-2</v>
      </c>
      <c r="AA30" s="149">
        <f t="shared" ref="AA30" si="137">AA29/V29-1</f>
        <v>-1.3647260184528331E-3</v>
      </c>
      <c r="AB30" s="148">
        <f t="shared" ref="AB30:AC30" si="138">AB29/W29-1</f>
        <v>3.9231733885995546E-2</v>
      </c>
      <c r="AC30" s="149">
        <f t="shared" si="138"/>
        <v>-8.2983825566638858E-2</v>
      </c>
      <c r="AD30" s="194">
        <v>-5.0000000000000001E-3</v>
      </c>
      <c r="AE30" s="194">
        <v>-2.5000000000000001E-2</v>
      </c>
      <c r="AF30" s="194">
        <v>-0.05</v>
      </c>
      <c r="AG30" s="148">
        <f>AG29/AB29-1</f>
        <v>-4.1291521732484293E-2</v>
      </c>
      <c r="AH30" s="194">
        <v>0.05</v>
      </c>
      <c r="AI30" s="194">
        <v>-0.01</v>
      </c>
      <c r="AJ30" s="194">
        <v>-0.01</v>
      </c>
      <c r="AK30" s="194">
        <v>-0.01</v>
      </c>
      <c r="AL30" s="151">
        <f>AL29/AG29-1</f>
        <v>5.1696974190058587E-3</v>
      </c>
      <c r="AM30" s="315"/>
      <c r="AN30" s="150"/>
      <c r="AO30" s="150"/>
      <c r="AP30" s="150"/>
      <c r="AQ30" s="150"/>
      <c r="AR30" s="151">
        <f>AR29/AL29-1</f>
        <v>0</v>
      </c>
      <c r="AS30" s="51"/>
      <c r="AT30" s="51" t="s">
        <v>36</v>
      </c>
      <c r="AU30" s="90" t="s">
        <v>248</v>
      </c>
    </row>
    <row r="31" spans="1:50" ht="5.75" customHeight="1" x14ac:dyDescent="0.35">
      <c r="B31" s="147"/>
      <c r="C31" s="51"/>
      <c r="D31" s="118"/>
      <c r="E31" s="51"/>
      <c r="F31" s="51"/>
      <c r="G31" s="51"/>
      <c r="H31" s="75"/>
      <c r="I31" s="51"/>
      <c r="J31" s="51"/>
      <c r="K31" s="51"/>
      <c r="L31" s="51"/>
      <c r="M31" s="75"/>
      <c r="N31" s="51"/>
      <c r="O31" s="51"/>
      <c r="P31" s="51"/>
      <c r="Q31" s="51"/>
      <c r="R31" s="75"/>
      <c r="S31" s="51"/>
      <c r="T31" s="51"/>
      <c r="U31" s="51"/>
      <c r="V31" s="51"/>
      <c r="W31" s="75"/>
      <c r="X31" s="51"/>
      <c r="Y31" s="51"/>
      <c r="Z31" s="51"/>
      <c r="AA31" s="51"/>
      <c r="AB31" s="75"/>
      <c r="AC31" s="51"/>
      <c r="AD31" s="51"/>
      <c r="AE31" s="51"/>
      <c r="AF31" s="51"/>
      <c r="AG31" s="75"/>
      <c r="AH31" s="51"/>
      <c r="AI31" s="51"/>
      <c r="AJ31" s="51"/>
      <c r="AK31" s="51"/>
      <c r="AL31" s="121"/>
      <c r="AM31" s="51"/>
      <c r="AN31" s="51"/>
      <c r="AO31" s="51"/>
      <c r="AP31" s="51"/>
      <c r="AQ31" s="51"/>
      <c r="AR31" s="121"/>
      <c r="AS31" s="51"/>
      <c r="AT31" s="51"/>
      <c r="AU31" s="90"/>
    </row>
    <row r="32" spans="1:50" s="19" customFormat="1" ht="13.9" x14ac:dyDescent="0.4">
      <c r="B32" s="142" t="s">
        <v>107</v>
      </c>
      <c r="C32" s="52"/>
      <c r="D32" s="209">
        <f>D22-D29</f>
        <v>125.48442906574397</v>
      </c>
      <c r="E32" s="210">
        <f t="shared" ref="E32:G32" si="139">E22-E29</f>
        <v>135.68077803203661</v>
      </c>
      <c r="F32" s="210">
        <f t="shared" si="139"/>
        <v>150.55056179775286</v>
      </c>
      <c r="G32" s="210">
        <f t="shared" si="139"/>
        <v>184.61781760674731</v>
      </c>
      <c r="H32" s="211">
        <f>H22-H29</f>
        <v>149.87568096102802</v>
      </c>
      <c r="I32" s="210">
        <f>I22-I29</f>
        <v>217.61950286806888</v>
      </c>
      <c r="J32" s="210">
        <f t="shared" ref="J32:L32" si="140">J22-J29</f>
        <v>180.82053742802302</v>
      </c>
      <c r="K32" s="210">
        <f t="shared" si="140"/>
        <v>204.73312748125275</v>
      </c>
      <c r="L32" s="210">
        <f t="shared" si="140"/>
        <v>192.74319791278421</v>
      </c>
      <c r="M32" s="211">
        <f>M22-M29</f>
        <v>198.70151216305058</v>
      </c>
      <c r="N32" s="210">
        <f t="shared" ref="N32:AA32" si="141">N22-N29</f>
        <v>190.2</v>
      </c>
      <c r="O32" s="210">
        <f t="shared" si="141"/>
        <v>186.87591240875912</v>
      </c>
      <c r="P32" s="210">
        <f t="shared" si="141"/>
        <v>204.63820349320767</v>
      </c>
      <c r="Q32" s="210">
        <f t="shared" si="141"/>
        <v>175.29085872576175</v>
      </c>
      <c r="R32" s="211">
        <f>R22-R29</f>
        <v>188.87809755052484</v>
      </c>
      <c r="S32" s="210">
        <f t="shared" ref="S32" si="142">S22-S29</f>
        <v>198.07666137446137</v>
      </c>
      <c r="T32" s="210">
        <f t="shared" si="141"/>
        <v>191.1850358422939</v>
      </c>
      <c r="U32" s="210">
        <f t="shared" si="141"/>
        <v>179.86999147485076</v>
      </c>
      <c r="V32" s="210">
        <f t="shared" si="141"/>
        <v>171.66105054509421</v>
      </c>
      <c r="W32" s="211">
        <f>W22-W29</f>
        <v>184.6722192369694</v>
      </c>
      <c r="X32" s="210">
        <f t="shared" ref="X32" si="143">X22-X29</f>
        <v>159.08657243816259</v>
      </c>
      <c r="Y32" s="210">
        <f t="shared" si="141"/>
        <v>199.66793497059837</v>
      </c>
      <c r="Z32" s="210">
        <f t="shared" si="141"/>
        <v>205.66260869565224</v>
      </c>
      <c r="AA32" s="210">
        <f t="shared" si="141"/>
        <v>258.54187355180409</v>
      </c>
      <c r="AB32" s="211">
        <f>AB22-AB29</f>
        <v>206.57570801411723</v>
      </c>
      <c r="AC32" s="210">
        <f t="shared" ref="AC32:AF32" si="144">AC22-AC29</f>
        <v>310.23210248681244</v>
      </c>
      <c r="AD32" s="210">
        <f t="shared" si="144"/>
        <v>312.56665513663086</v>
      </c>
      <c r="AE32" s="210">
        <f t="shared" si="144"/>
        <v>290.4645391304349</v>
      </c>
      <c r="AF32" s="210">
        <f t="shared" si="144"/>
        <v>296.46731214829538</v>
      </c>
      <c r="AG32" s="211">
        <f>AG22-AG29</f>
        <v>302.42971885627082</v>
      </c>
      <c r="AH32" s="210">
        <f>AH22-AH29</f>
        <v>342.23226827430301</v>
      </c>
      <c r="AI32" s="210">
        <f t="shared" ref="AI32:AK32" si="145">AI22-AI29</f>
        <v>359.68969145624351</v>
      </c>
      <c r="AJ32" s="210">
        <f t="shared" si="145"/>
        <v>336.12938139130449</v>
      </c>
      <c r="AK32" s="210">
        <f t="shared" si="145"/>
        <v>341.55828202581938</v>
      </c>
      <c r="AL32" s="212">
        <f>AL22-AL29</f>
        <v>344.90254938094211</v>
      </c>
      <c r="AM32" s="210"/>
      <c r="AN32" s="79">
        <f>AN22-AN29</f>
        <v>342.23226827430301</v>
      </c>
      <c r="AO32" s="79">
        <f t="shared" ref="AO32:AQ32" si="146">AO22-AO29</f>
        <v>359.68969145624351</v>
      </c>
      <c r="AP32" s="79">
        <f t="shared" si="146"/>
        <v>336.12938139130449</v>
      </c>
      <c r="AQ32" s="79">
        <f t="shared" si="146"/>
        <v>341.55828202581938</v>
      </c>
      <c r="AR32" s="152">
        <f>AR22-AR29</f>
        <v>344.90254938094211</v>
      </c>
      <c r="AS32" s="52"/>
      <c r="AT32" s="52"/>
      <c r="AU32" s="104"/>
    </row>
    <row r="33" spans="1:47" x14ac:dyDescent="0.35">
      <c r="B33" s="147" t="s">
        <v>39</v>
      </c>
      <c r="C33" s="51"/>
      <c r="D33" s="118"/>
      <c r="E33" s="51"/>
      <c r="F33" s="51"/>
      <c r="G33" s="51"/>
      <c r="H33" s="75"/>
      <c r="I33" s="149">
        <f>I32/D32-1</f>
        <v>0.73423511178469303</v>
      </c>
      <c r="J33" s="149">
        <f t="shared" ref="J33:N33" si="147">J32/E32-1</f>
        <v>0.33269089439720134</v>
      </c>
      <c r="K33" s="149">
        <f t="shared" si="147"/>
        <v>0.3598961374603693</v>
      </c>
      <c r="L33" s="149">
        <f t="shared" si="147"/>
        <v>4.4011896637976111E-2</v>
      </c>
      <c r="M33" s="148">
        <f t="shared" si="147"/>
        <v>0.32577554202885439</v>
      </c>
      <c r="N33" s="149">
        <f t="shared" si="147"/>
        <v>-0.12599745200544765</v>
      </c>
      <c r="O33" s="149">
        <f t="shared" ref="O33" si="148">O32/J32-1</f>
        <v>3.3488314252724249E-2</v>
      </c>
      <c r="P33" s="149">
        <f t="shared" ref="P33" si="149">P32/K32-1</f>
        <v>-4.6364742830284911E-4</v>
      </c>
      <c r="Q33" s="149">
        <f t="shared" ref="Q33" si="150">Q32/L32-1</f>
        <v>-9.0547108152265854E-2</v>
      </c>
      <c r="R33" s="148">
        <f t="shared" ref="R33:S33" si="151">R32/M32-1</f>
        <v>-4.9438046573419325E-2</v>
      </c>
      <c r="S33" s="149">
        <f t="shared" si="151"/>
        <v>4.1412520370459394E-2</v>
      </c>
      <c r="T33" s="149">
        <f t="shared" ref="T33" si="152">T32/O32-1</f>
        <v>2.3058741910564118E-2</v>
      </c>
      <c r="U33" s="149">
        <f t="shared" ref="U33" si="153">U32/P32-1</f>
        <v>-0.12103415489170388</v>
      </c>
      <c r="V33" s="149">
        <f t="shared" ref="V33" si="154">V32/Q32-1</f>
        <v>-2.0707344393504745E-2</v>
      </c>
      <c r="W33" s="148">
        <f t="shared" ref="W33:X33" si="155">W32/R32-1</f>
        <v>-2.2267686767812656E-2</v>
      </c>
      <c r="X33" s="149">
        <f t="shared" si="155"/>
        <v>-0.1968434275181391</v>
      </c>
      <c r="Y33" s="149">
        <f t="shared" ref="Y33" si="156">Y32/T32-1</f>
        <v>4.4370099840355115E-2</v>
      </c>
      <c r="Z33" s="149">
        <f t="shared" ref="Z33" si="157">Z32/U32-1</f>
        <v>0.14339588838201389</v>
      </c>
      <c r="AA33" s="149">
        <f t="shared" ref="AA33" si="158">AA32/V32-1</f>
        <v>0.50611843939453727</v>
      </c>
      <c r="AB33" s="148">
        <f t="shared" ref="AB33:AC33" si="159">AB32/W32-1</f>
        <v>0.11860738376161239</v>
      </c>
      <c r="AC33" s="149">
        <f t="shared" si="159"/>
        <v>0.95008351573732308</v>
      </c>
      <c r="AD33" s="149">
        <f t="shared" ref="AD33" si="160">AD32/Y32-1</f>
        <v>0.56543240246691151</v>
      </c>
      <c r="AE33" s="149">
        <f t="shared" ref="AE33" si="161">AE32/Z32-1</f>
        <v>0.41233518806656755</v>
      </c>
      <c r="AF33" s="149">
        <f t="shared" ref="AF33:AG33" si="162">AF32/AA32-1</f>
        <v>0.14668973375754613</v>
      </c>
      <c r="AG33" s="148">
        <f t="shared" si="162"/>
        <v>0.46401395286808356</v>
      </c>
      <c r="AH33" s="315">
        <f t="shared" ref="AH33" si="163">AH32/AC32-1</f>
        <v>0.10314911168437457</v>
      </c>
      <c r="AI33" s="315">
        <f t="shared" ref="AI33" si="164">AI32/AD32-1</f>
        <v>0.15076155931928814</v>
      </c>
      <c r="AJ33" s="315">
        <f t="shared" ref="AJ33" si="165">AJ32/AE32-1</f>
        <v>0.15721314001900777</v>
      </c>
      <c r="AK33" s="315">
        <f t="shared" ref="AK33" si="166">AK32/AF32-1</f>
        <v>0.15209423781252873</v>
      </c>
      <c r="AL33" s="151">
        <f t="shared" ref="AL33" si="167">AL32/AG32-1</f>
        <v>0.14043868005199722</v>
      </c>
      <c r="AM33" s="315"/>
      <c r="AN33" s="149">
        <f t="shared" ref="AN33" si="168">AN32/AH32-1</f>
        <v>0</v>
      </c>
      <c r="AO33" s="149">
        <f t="shared" ref="AO33" si="169">AO32/AI32-1</f>
        <v>0</v>
      </c>
      <c r="AP33" s="149">
        <f t="shared" ref="AP33" si="170">AP32/AJ32-1</f>
        <v>0</v>
      </c>
      <c r="AQ33" s="149">
        <f t="shared" ref="AQ33" si="171">AQ32/AK32-1</f>
        <v>0</v>
      </c>
      <c r="AR33" s="151">
        <f t="shared" ref="AR33" si="172">AR32/AL32-1</f>
        <v>0</v>
      </c>
      <c r="AS33" s="51"/>
      <c r="AT33" s="51"/>
      <c r="AU33" s="90"/>
    </row>
    <row r="34" spans="1:47" x14ac:dyDescent="0.35">
      <c r="B34" s="118"/>
      <c r="C34" s="51"/>
      <c r="D34" s="118"/>
      <c r="E34" s="51"/>
      <c r="F34" s="51"/>
      <c r="G34" s="51"/>
      <c r="H34" s="75"/>
      <c r="I34" s="51"/>
      <c r="J34" s="51"/>
      <c r="K34" s="51"/>
      <c r="L34" s="51"/>
      <c r="M34" s="75"/>
      <c r="N34" s="51"/>
      <c r="O34" s="51"/>
      <c r="P34" s="51"/>
      <c r="Q34" s="51"/>
      <c r="R34" s="75"/>
      <c r="S34" s="51"/>
      <c r="T34" s="51"/>
      <c r="U34" s="51"/>
      <c r="V34" s="51"/>
      <c r="W34" s="75"/>
      <c r="X34" s="51"/>
      <c r="Y34" s="51"/>
      <c r="Z34" s="51"/>
      <c r="AA34" s="51"/>
      <c r="AB34" s="75"/>
      <c r="AC34" s="51"/>
      <c r="AD34" s="51"/>
      <c r="AE34" s="51"/>
      <c r="AF34" s="51"/>
      <c r="AG34" s="75"/>
      <c r="AH34" s="51"/>
      <c r="AI34" s="51"/>
      <c r="AJ34" s="51"/>
      <c r="AK34" s="51"/>
      <c r="AL34" s="121"/>
      <c r="AM34" s="51"/>
      <c r="AN34" s="51"/>
      <c r="AO34" s="51"/>
      <c r="AP34" s="51"/>
      <c r="AQ34" s="51"/>
      <c r="AR34" s="121"/>
      <c r="AS34" s="51"/>
      <c r="AT34" s="51"/>
      <c r="AU34" s="90"/>
    </row>
    <row r="35" spans="1:47" s="19" customFormat="1" ht="13.9" x14ac:dyDescent="0.4">
      <c r="B35" s="140" t="s">
        <v>76</v>
      </c>
      <c r="C35" s="52"/>
      <c r="D35" s="322">
        <f t="shared" ref="D35:AC35" si="173">D7</f>
        <v>3.46</v>
      </c>
      <c r="E35" s="73">
        <f t="shared" si="173"/>
        <v>9.2560000000000002</v>
      </c>
      <c r="F35" s="73">
        <f t="shared" si="173"/>
        <v>10.973000000000001</v>
      </c>
      <c r="G35" s="73">
        <f t="shared" si="173"/>
        <v>8.7580000000000027</v>
      </c>
      <c r="H35" s="74">
        <f t="shared" si="173"/>
        <v>32.447000000000003</v>
      </c>
      <c r="I35" s="73">
        <f t="shared" si="173"/>
        <v>6.9660000000000002</v>
      </c>
      <c r="J35" s="73">
        <f t="shared" si="173"/>
        <v>6.0579999999999998</v>
      </c>
      <c r="K35" s="73">
        <f t="shared" si="173"/>
        <v>4.8570000000000002</v>
      </c>
      <c r="L35" s="73">
        <f t="shared" si="173"/>
        <v>5.9130000000000003</v>
      </c>
      <c r="M35" s="74">
        <f t="shared" si="173"/>
        <v>23.794</v>
      </c>
      <c r="N35" s="73">
        <f t="shared" si="173"/>
        <v>33.933999999999997</v>
      </c>
      <c r="O35" s="73">
        <f t="shared" si="173"/>
        <v>4.7939999999999996</v>
      </c>
      <c r="P35" s="73">
        <f t="shared" si="173"/>
        <v>7.4649999999999999</v>
      </c>
      <c r="Q35" s="73">
        <f t="shared" si="173"/>
        <v>12.144000000000005</v>
      </c>
      <c r="R35" s="74">
        <f t="shared" si="173"/>
        <v>58.337000000000003</v>
      </c>
      <c r="S35" s="73">
        <f t="shared" si="173"/>
        <v>4.1310000000000002</v>
      </c>
      <c r="T35" s="73">
        <f t="shared" si="173"/>
        <v>3.6179999999999999</v>
      </c>
      <c r="U35" s="73">
        <f t="shared" si="173"/>
        <v>10.805999999999999</v>
      </c>
      <c r="V35" s="73">
        <f t="shared" si="173"/>
        <v>4.3599999999999994</v>
      </c>
      <c r="W35" s="74">
        <f t="shared" si="173"/>
        <v>22.914999999999999</v>
      </c>
      <c r="X35" s="73">
        <f t="shared" si="173"/>
        <v>3.9590000000000001</v>
      </c>
      <c r="Y35" s="73">
        <f t="shared" si="173"/>
        <v>3.1480000000000001</v>
      </c>
      <c r="Z35" s="73">
        <f t="shared" si="173"/>
        <v>3.0880000000000001</v>
      </c>
      <c r="AA35" s="73">
        <f t="shared" si="173"/>
        <v>3.8539999999999992</v>
      </c>
      <c r="AB35" s="74">
        <f t="shared" si="173"/>
        <v>14.048999999999999</v>
      </c>
      <c r="AC35" s="73">
        <f t="shared" si="173"/>
        <v>3.069</v>
      </c>
      <c r="AD35" s="73">
        <f>Y35*(1+AD36)</f>
        <v>2.4403162414751201</v>
      </c>
      <c r="AE35" s="73">
        <f t="shared" ref="AE35:AF35" si="174">Z35*(1+AE36)</f>
        <v>2.3938044960848699</v>
      </c>
      <c r="AF35" s="73">
        <f t="shared" si="174"/>
        <v>2.9876044455670616</v>
      </c>
      <c r="AG35" s="74">
        <f>SUM(AC35:AF35)</f>
        <v>10.890725183127051</v>
      </c>
      <c r="AH35" s="73">
        <f>AC35*(1+AH36)</f>
        <v>3.2224500000000003</v>
      </c>
      <c r="AI35" s="73">
        <f t="shared" ref="AI35:AK35" si="175">AD35*(1+AI36)</f>
        <v>2.5623320535488761</v>
      </c>
      <c r="AJ35" s="73">
        <f t="shared" si="175"/>
        <v>2.5134947208891134</v>
      </c>
      <c r="AK35" s="73">
        <f t="shared" si="175"/>
        <v>3.136984667845415</v>
      </c>
      <c r="AL35" s="141">
        <f>SUM(AH35:AK35)</f>
        <v>11.435261442283405</v>
      </c>
      <c r="AM35" s="73"/>
      <c r="AN35" s="73"/>
      <c r="AO35" s="73"/>
      <c r="AP35" s="73"/>
      <c r="AQ35" s="73"/>
      <c r="AR35" s="141"/>
      <c r="AS35" s="52"/>
      <c r="AT35" s="52"/>
      <c r="AU35" s="104"/>
    </row>
    <row r="36" spans="1:47" x14ac:dyDescent="0.35">
      <c r="B36" s="147" t="s">
        <v>38</v>
      </c>
      <c r="C36" s="51"/>
      <c r="D36" s="118"/>
      <c r="E36" s="51"/>
      <c r="F36" s="51"/>
      <c r="G36" s="51"/>
      <c r="H36" s="75"/>
      <c r="I36" s="149">
        <f>I35/D35-1</f>
        <v>1.0132947976878612</v>
      </c>
      <c r="J36" s="149">
        <f t="shared" ref="J36:L36" si="176">J35/E35-1</f>
        <v>-0.3455056179775281</v>
      </c>
      <c r="K36" s="149">
        <f t="shared" si="176"/>
        <v>-0.55736808530028248</v>
      </c>
      <c r="L36" s="149">
        <f t="shared" si="176"/>
        <v>-0.32484585521808651</v>
      </c>
      <c r="M36" s="148">
        <f>M35/H35-1</f>
        <v>-0.26668104909544799</v>
      </c>
      <c r="N36" s="149">
        <f t="shared" ref="N36" si="177">N35/I35-1</f>
        <v>3.8713752512202122</v>
      </c>
      <c r="O36" s="149">
        <f t="shared" ref="O36" si="178">O35/J35-1</f>
        <v>-0.20864971937933319</v>
      </c>
      <c r="P36" s="149">
        <f t="shared" ref="P36" si="179">P35/K35-1</f>
        <v>0.53695696932262704</v>
      </c>
      <c r="Q36" s="149">
        <f t="shared" ref="Q36:S36" si="180">Q35/L35-1</f>
        <v>1.0537798072044655</v>
      </c>
      <c r="R36" s="148">
        <f t="shared" si="180"/>
        <v>1.4517525426578128</v>
      </c>
      <c r="S36" s="149">
        <f t="shared" si="180"/>
        <v>-0.87826368833618196</v>
      </c>
      <c r="T36" s="149">
        <f t="shared" ref="T36" si="181">T35/O35-1</f>
        <v>-0.24530663329161451</v>
      </c>
      <c r="U36" s="149">
        <f t="shared" ref="U36" si="182">U35/P35-1</f>
        <v>0.44755525787006012</v>
      </c>
      <c r="V36" s="149">
        <f t="shared" ref="V36:X36" si="183">V35/Q35-1</f>
        <v>-0.64097496706192381</v>
      </c>
      <c r="W36" s="148">
        <f t="shared" si="183"/>
        <v>-0.60719611910108506</v>
      </c>
      <c r="X36" s="149">
        <f t="shared" si="183"/>
        <v>-4.1636407649479623E-2</v>
      </c>
      <c r="Y36" s="149">
        <f t="shared" ref="Y36" si="184">Y35/T35-1</f>
        <v>-0.12990602542841345</v>
      </c>
      <c r="Z36" s="149">
        <f t="shared" ref="Z36" si="185">Z35/U35-1</f>
        <v>-0.71423283361095691</v>
      </c>
      <c r="AA36" s="149">
        <f t="shared" ref="AA36:AB36" si="186">AA35/V35-1</f>
        <v>-0.11605504587155968</v>
      </c>
      <c r="AB36" s="148">
        <f t="shared" si="186"/>
        <v>-0.38690813877372898</v>
      </c>
      <c r="AC36" s="149">
        <f>AC35/X35-1</f>
        <v>-0.22480424349583228</v>
      </c>
      <c r="AD36" s="167">
        <f>AC36</f>
        <v>-0.22480424349583228</v>
      </c>
      <c r="AE36" s="149">
        <f>AD36</f>
        <v>-0.22480424349583228</v>
      </c>
      <c r="AF36" s="149">
        <f>AE36</f>
        <v>-0.22480424349583228</v>
      </c>
      <c r="AG36" s="148">
        <f>AG35/AB35-1</f>
        <v>-0.22480424349583239</v>
      </c>
      <c r="AH36" s="194">
        <v>0.05</v>
      </c>
      <c r="AI36" s="149">
        <f>AH36</f>
        <v>0.05</v>
      </c>
      <c r="AJ36" s="149">
        <f>AI36</f>
        <v>0.05</v>
      </c>
      <c r="AK36" s="149">
        <f>AJ36</f>
        <v>0.05</v>
      </c>
      <c r="AL36" s="151">
        <f>AL35/AG35-1</f>
        <v>5.0000000000000044E-2</v>
      </c>
      <c r="AM36" s="315"/>
      <c r="AN36" s="149"/>
      <c r="AO36" s="149"/>
      <c r="AP36" s="149"/>
      <c r="AQ36" s="149"/>
      <c r="AR36" s="148"/>
      <c r="AS36" s="149"/>
      <c r="AT36" s="51"/>
      <c r="AU36" s="90"/>
    </row>
    <row r="37" spans="1:47" ht="5.75" customHeight="1" x14ac:dyDescent="0.35">
      <c r="B37" s="147"/>
      <c r="C37" s="51"/>
      <c r="D37" s="118"/>
      <c r="E37" s="51"/>
      <c r="F37" s="51"/>
      <c r="G37" s="51"/>
      <c r="H37" s="75"/>
      <c r="I37" s="51"/>
      <c r="J37" s="51"/>
      <c r="K37" s="51"/>
      <c r="L37" s="51"/>
      <c r="M37" s="75"/>
      <c r="N37" s="51"/>
      <c r="O37" s="51"/>
      <c r="P37" s="51"/>
      <c r="Q37" s="51"/>
      <c r="R37" s="75"/>
      <c r="S37" s="51"/>
      <c r="T37" s="51"/>
      <c r="U37" s="51"/>
      <c r="V37" s="51"/>
      <c r="W37" s="75"/>
      <c r="X37" s="51"/>
      <c r="Y37" s="51"/>
      <c r="Z37" s="51"/>
      <c r="AA37" s="51"/>
      <c r="AB37" s="75"/>
      <c r="AC37" s="51"/>
      <c r="AD37" s="51"/>
      <c r="AE37" s="51"/>
      <c r="AF37" s="51"/>
      <c r="AG37" s="75"/>
      <c r="AH37" s="51"/>
      <c r="AI37" s="51"/>
      <c r="AJ37" s="51"/>
      <c r="AK37" s="51"/>
      <c r="AL37" s="121"/>
      <c r="AM37" s="51"/>
      <c r="AN37" s="51"/>
      <c r="AO37" s="51"/>
      <c r="AP37" s="51"/>
      <c r="AQ37" s="51"/>
      <c r="AR37" s="121"/>
      <c r="AS37" s="51"/>
      <c r="AT37" s="51"/>
      <c r="AU37" s="90"/>
    </row>
    <row r="38" spans="1:47" x14ac:dyDescent="0.35">
      <c r="B38" s="140" t="s">
        <v>80</v>
      </c>
      <c r="C38" s="51"/>
      <c r="D38" s="331">
        <v>1.698</v>
      </c>
      <c r="E38" s="78">
        <v>2.4430000000000001</v>
      </c>
      <c r="F38" s="78">
        <v>3.742</v>
      </c>
      <c r="G38" s="73">
        <f>12.866-SUM(D38:F38)</f>
        <v>4.9829999999999997</v>
      </c>
      <c r="H38" s="74">
        <f>SUM(D38:G38)</f>
        <v>12.866</v>
      </c>
      <c r="I38" s="78">
        <v>3.4580000000000002</v>
      </c>
      <c r="J38" s="78">
        <v>4.2080000000000002</v>
      </c>
      <c r="K38" s="78">
        <v>4.9480000000000004</v>
      </c>
      <c r="L38" s="73">
        <f>17.755-SUM(I38:K38)</f>
        <v>5.1409999999999982</v>
      </c>
      <c r="M38" s="74">
        <f>SUM(I38:L38)</f>
        <v>17.754999999999999</v>
      </c>
      <c r="N38" s="78">
        <v>5.4909999999999997</v>
      </c>
      <c r="O38" s="78">
        <v>2.8849999999999998</v>
      </c>
      <c r="P38" s="78">
        <v>4.5330000000000004</v>
      </c>
      <c r="Q38" s="78">
        <f>15.755-SUM(N38:P38)</f>
        <v>2.8460000000000019</v>
      </c>
      <c r="R38" s="74">
        <f>SUM(N38:Q38)</f>
        <v>15.755000000000001</v>
      </c>
      <c r="S38" s="78">
        <v>0.54500000000000004</v>
      </c>
      <c r="T38" s="78">
        <v>0.48099999999999998</v>
      </c>
      <c r="U38" s="78">
        <v>1.0760000000000001</v>
      </c>
      <c r="V38" s="78">
        <f>2.624-SUM(S38:U38)</f>
        <v>0.5219999999999998</v>
      </c>
      <c r="W38" s="74">
        <f>SUM(S38:V38)</f>
        <v>2.6240000000000001</v>
      </c>
      <c r="X38" s="78">
        <v>0.37</v>
      </c>
      <c r="Y38" s="78">
        <v>0.34100000000000003</v>
      </c>
      <c r="Z38" s="78">
        <v>0.34899999999999998</v>
      </c>
      <c r="AA38" s="78">
        <f>1.267-SUM(X38:Z38)</f>
        <v>0.20699999999999985</v>
      </c>
      <c r="AB38" s="74">
        <f>SUM(X38:AA38)</f>
        <v>1.2669999999999999</v>
      </c>
      <c r="AC38" s="78">
        <v>0.307</v>
      </c>
      <c r="AD38" s="286">
        <f>Y38*(1+AD39)</f>
        <v>0.28293783783783782</v>
      </c>
      <c r="AE38" s="286">
        <f t="shared" ref="AE38:AF38" si="187">Z38*(1+AE39)</f>
        <v>0.28957567567567566</v>
      </c>
      <c r="AF38" s="286">
        <f t="shared" si="187"/>
        <v>0.17175405405405392</v>
      </c>
      <c r="AG38" s="74">
        <f>SUM(AC38:AF38)</f>
        <v>1.0512675675675673</v>
      </c>
      <c r="AH38" s="286">
        <f>AC38*(1+AH39)</f>
        <v>0.32235000000000003</v>
      </c>
      <c r="AI38" s="286">
        <f t="shared" ref="AI38:AK38" si="188">AD38*(1+AI39)</f>
        <v>0.29708472972972971</v>
      </c>
      <c r="AJ38" s="286">
        <f t="shared" si="188"/>
        <v>0.30405445945945947</v>
      </c>
      <c r="AK38" s="286">
        <f t="shared" si="188"/>
        <v>0.18034175675675662</v>
      </c>
      <c r="AL38" s="141">
        <f>SUM(AH38:AK38)</f>
        <v>1.1038309459459459</v>
      </c>
      <c r="AM38" s="73"/>
      <c r="AN38" s="51"/>
      <c r="AO38" s="51"/>
      <c r="AP38" s="51"/>
      <c r="AQ38" s="51"/>
      <c r="AR38" s="121"/>
      <c r="AS38" s="51"/>
      <c r="AT38" s="51"/>
      <c r="AU38" s="90"/>
    </row>
    <row r="39" spans="1:47" x14ac:dyDescent="0.35">
      <c r="B39" s="157" t="s">
        <v>38</v>
      </c>
      <c r="C39" s="59"/>
      <c r="D39" s="122"/>
      <c r="E39" s="59"/>
      <c r="F39" s="59"/>
      <c r="G39" s="59"/>
      <c r="H39" s="127"/>
      <c r="I39" s="165">
        <f t="shared" ref="I39:W39" si="189">I38/D38-1</f>
        <v>1.0365135453474679</v>
      </c>
      <c r="J39" s="165">
        <f t="shared" si="189"/>
        <v>0.72247237003684006</v>
      </c>
      <c r="K39" s="165">
        <f t="shared" si="189"/>
        <v>0.32228754676643523</v>
      </c>
      <c r="L39" s="165">
        <f t="shared" si="189"/>
        <v>3.1707806542243366E-2</v>
      </c>
      <c r="M39" s="166">
        <f t="shared" si="189"/>
        <v>0.37999378206124668</v>
      </c>
      <c r="N39" s="165">
        <f t="shared" si="189"/>
        <v>0.58791208791208782</v>
      </c>
      <c r="O39" s="165">
        <f t="shared" si="189"/>
        <v>-0.31440114068441072</v>
      </c>
      <c r="P39" s="165">
        <f t="shared" si="189"/>
        <v>-8.3872271624898964E-2</v>
      </c>
      <c r="Q39" s="165">
        <f t="shared" si="189"/>
        <v>-0.44641120404590495</v>
      </c>
      <c r="R39" s="166">
        <f t="shared" si="189"/>
        <v>-0.11264432554210069</v>
      </c>
      <c r="S39" s="165">
        <f t="shared" si="189"/>
        <v>-0.9007466763795301</v>
      </c>
      <c r="T39" s="165">
        <f t="shared" si="189"/>
        <v>-0.83327556325823227</v>
      </c>
      <c r="U39" s="165">
        <f t="shared" si="189"/>
        <v>-0.76262960511802336</v>
      </c>
      <c r="V39" s="165">
        <f t="shared" si="189"/>
        <v>-0.81658468025298681</v>
      </c>
      <c r="W39" s="166">
        <f t="shared" si="189"/>
        <v>-0.83344969850841</v>
      </c>
      <c r="X39" s="165">
        <f t="shared" ref="X39:AC39" si="190">X38/S38-1</f>
        <v>-0.32110091743119273</v>
      </c>
      <c r="Y39" s="165">
        <f t="shared" si="190"/>
        <v>-0.29106029106029097</v>
      </c>
      <c r="Z39" s="165">
        <f t="shared" si="190"/>
        <v>-0.67565055762081783</v>
      </c>
      <c r="AA39" s="165">
        <f t="shared" si="190"/>
        <v>-0.60344827586206917</v>
      </c>
      <c r="AB39" s="166">
        <f t="shared" si="190"/>
        <v>-0.5171493902439025</v>
      </c>
      <c r="AC39" s="165">
        <f t="shared" si="190"/>
        <v>-0.17027027027027031</v>
      </c>
      <c r="AD39" s="168">
        <f>AC39</f>
        <v>-0.17027027027027031</v>
      </c>
      <c r="AE39" s="165">
        <f>AD39</f>
        <v>-0.17027027027027031</v>
      </c>
      <c r="AF39" s="165">
        <f>AE39</f>
        <v>-0.17027027027027031</v>
      </c>
      <c r="AG39" s="166">
        <f>AG38/AB38-1</f>
        <v>-0.17027027027027042</v>
      </c>
      <c r="AH39" s="168">
        <v>0.05</v>
      </c>
      <c r="AI39" s="165">
        <f>AH39</f>
        <v>0.05</v>
      </c>
      <c r="AJ39" s="165">
        <f>AI39</f>
        <v>0.05</v>
      </c>
      <c r="AK39" s="165">
        <f>AJ39</f>
        <v>0.05</v>
      </c>
      <c r="AL39" s="171">
        <f>AL38/AG38-1</f>
        <v>5.0000000000000266E-2</v>
      </c>
      <c r="AM39" s="315"/>
      <c r="AN39" s="59"/>
      <c r="AO39" s="59"/>
      <c r="AP39" s="59"/>
      <c r="AQ39" s="59"/>
      <c r="AR39" s="128"/>
      <c r="AS39" s="51"/>
      <c r="AT39" s="51"/>
      <c r="AU39" s="90"/>
    </row>
    <row r="40" spans="1:47" x14ac:dyDescent="0.35">
      <c r="B40" s="51"/>
      <c r="C40" s="51"/>
      <c r="D40" s="118"/>
      <c r="E40" s="51"/>
      <c r="F40" s="51"/>
      <c r="G40" s="51"/>
      <c r="H40" s="75"/>
      <c r="I40" s="51"/>
      <c r="J40" s="51"/>
      <c r="K40" s="51"/>
      <c r="L40" s="51"/>
      <c r="M40" s="75"/>
      <c r="N40" s="51"/>
      <c r="O40" s="51"/>
      <c r="P40" s="51"/>
      <c r="Q40" s="51"/>
      <c r="R40" s="75"/>
      <c r="S40" s="51"/>
      <c r="T40" s="51"/>
      <c r="U40" s="51"/>
      <c r="V40" s="51"/>
      <c r="W40" s="75"/>
      <c r="X40" s="51"/>
      <c r="Y40" s="51"/>
      <c r="Z40" s="51"/>
      <c r="AA40" s="51"/>
      <c r="AB40" s="75"/>
      <c r="AC40" s="51"/>
      <c r="AD40" s="51"/>
      <c r="AE40" s="51"/>
      <c r="AF40" s="51"/>
      <c r="AG40" s="75"/>
      <c r="AH40" s="51"/>
      <c r="AI40" s="51"/>
      <c r="AJ40" s="51"/>
      <c r="AK40" s="51"/>
      <c r="AL40" s="75"/>
      <c r="AM40" s="51"/>
      <c r="AN40" s="51"/>
      <c r="AO40" s="51"/>
      <c r="AP40" s="51"/>
      <c r="AQ40" s="51"/>
      <c r="AR40" s="75"/>
      <c r="AS40" s="51"/>
      <c r="AT40" s="51"/>
      <c r="AU40" s="90"/>
    </row>
    <row r="41" spans="1:47" x14ac:dyDescent="0.35">
      <c r="A41" s="52" t="s">
        <v>36</v>
      </c>
      <c r="B41" s="178" t="s">
        <v>101</v>
      </c>
      <c r="C41" s="367"/>
      <c r="D41" s="358"/>
      <c r="E41" s="115"/>
      <c r="F41" s="115"/>
      <c r="G41" s="115"/>
      <c r="H41" s="116"/>
      <c r="I41" s="115"/>
      <c r="J41" s="115"/>
      <c r="K41" s="115"/>
      <c r="L41" s="115"/>
      <c r="M41" s="116"/>
      <c r="N41" s="115"/>
      <c r="O41" s="115"/>
      <c r="P41" s="115"/>
      <c r="Q41" s="115"/>
      <c r="R41" s="116"/>
      <c r="S41" s="115"/>
      <c r="T41" s="115"/>
      <c r="U41" s="115"/>
      <c r="V41" s="115"/>
      <c r="W41" s="116"/>
      <c r="X41" s="115"/>
      <c r="Y41" s="115"/>
      <c r="Z41" s="115"/>
      <c r="AA41" s="115"/>
      <c r="AB41" s="116"/>
      <c r="AC41" s="115"/>
      <c r="AD41" s="115"/>
      <c r="AE41" s="115"/>
      <c r="AF41" s="115"/>
      <c r="AG41" s="116"/>
      <c r="AH41" s="115"/>
      <c r="AI41" s="115"/>
      <c r="AJ41" s="115"/>
      <c r="AK41" s="115"/>
      <c r="AL41" s="117"/>
      <c r="AM41" s="51"/>
      <c r="AN41" s="51"/>
      <c r="AO41" s="51"/>
      <c r="AP41" s="51"/>
      <c r="AQ41" s="51"/>
      <c r="AR41" s="75"/>
      <c r="AS41" s="51"/>
      <c r="AT41" s="51" t="s">
        <v>36</v>
      </c>
      <c r="AU41" s="90" t="s">
        <v>137</v>
      </c>
    </row>
    <row r="42" spans="1:47" x14ac:dyDescent="0.35">
      <c r="B42" s="177" t="s">
        <v>110</v>
      </c>
      <c r="C42" s="51"/>
      <c r="D42" s="374" t="s">
        <v>239</v>
      </c>
      <c r="E42" s="51"/>
      <c r="F42" s="153"/>
      <c r="G42" s="143"/>
      <c r="H42" s="75"/>
      <c r="I42" s="88" t="s">
        <v>237</v>
      </c>
      <c r="J42" s="51"/>
      <c r="K42" s="51"/>
      <c r="L42" s="51"/>
      <c r="M42" s="75"/>
      <c r="N42" s="88" t="s">
        <v>237</v>
      </c>
      <c r="O42" s="51"/>
      <c r="P42" s="51"/>
      <c r="Q42" s="51"/>
      <c r="R42" s="75"/>
      <c r="S42" s="88" t="s">
        <v>237</v>
      </c>
      <c r="T42" s="51"/>
      <c r="U42" s="51"/>
      <c r="V42" s="51"/>
      <c r="W42" s="75"/>
      <c r="X42" s="88" t="s">
        <v>237</v>
      </c>
      <c r="Y42" s="51"/>
      <c r="Z42" s="51"/>
      <c r="AA42" s="51"/>
      <c r="AB42" s="75"/>
      <c r="AC42" s="88" t="s">
        <v>237</v>
      </c>
      <c r="AD42" s="51"/>
      <c r="AE42" s="51"/>
      <c r="AF42" s="51"/>
      <c r="AG42" s="75"/>
      <c r="AH42" s="88" t="s">
        <v>237</v>
      </c>
      <c r="AI42" s="51"/>
      <c r="AJ42" s="51"/>
      <c r="AK42" s="51"/>
      <c r="AL42" s="121"/>
      <c r="AM42" s="51"/>
      <c r="AN42" s="51"/>
      <c r="AO42" s="51"/>
      <c r="AP42" s="51"/>
      <c r="AQ42" s="51"/>
      <c r="AR42" s="75"/>
      <c r="AS42" s="51"/>
      <c r="AT42" s="51" t="s">
        <v>36</v>
      </c>
      <c r="AU42" s="90" t="s">
        <v>140</v>
      </c>
    </row>
    <row r="43" spans="1:47" x14ac:dyDescent="0.35">
      <c r="B43" s="176" t="s">
        <v>102</v>
      </c>
      <c r="C43" s="51"/>
      <c r="D43" s="202"/>
      <c r="E43" s="179"/>
      <c r="F43" s="179"/>
      <c r="H43" s="75"/>
      <c r="I43" s="51"/>
      <c r="J43" s="51"/>
      <c r="K43" s="51"/>
      <c r="L43" s="51"/>
      <c r="M43" s="75"/>
      <c r="N43" s="51"/>
      <c r="O43" s="51"/>
      <c r="P43" s="51"/>
      <c r="Q43" s="51"/>
      <c r="R43" s="75"/>
      <c r="S43" s="51"/>
      <c r="T43" s="51"/>
      <c r="U43" s="51"/>
      <c r="V43" s="51"/>
      <c r="W43" s="75"/>
      <c r="X43" s="51"/>
      <c r="Y43" s="51"/>
      <c r="Z43" s="51"/>
      <c r="AA43" s="51"/>
      <c r="AB43" s="75"/>
      <c r="AC43" s="51"/>
      <c r="AD43" s="51"/>
      <c r="AE43" s="51"/>
      <c r="AF43" s="51"/>
      <c r="AG43" s="75"/>
      <c r="AH43" s="51"/>
      <c r="AI43" s="51"/>
      <c r="AJ43" s="51"/>
      <c r="AK43" s="51"/>
      <c r="AL43" s="121"/>
      <c r="AM43" s="51"/>
      <c r="AN43" s="51"/>
      <c r="AO43" s="51"/>
      <c r="AP43" s="51"/>
      <c r="AQ43" s="51"/>
      <c r="AR43" s="75"/>
      <c r="AS43" s="51"/>
      <c r="AT43" s="51"/>
      <c r="AU43" s="90"/>
    </row>
    <row r="44" spans="1:47" x14ac:dyDescent="0.35">
      <c r="B44" s="142" t="s">
        <v>132</v>
      </c>
      <c r="C44" s="51"/>
      <c r="D44" s="332">
        <v>126500</v>
      </c>
      <c r="E44" s="143">
        <f>249500-D44</f>
        <v>123000</v>
      </c>
      <c r="F44" s="143">
        <f>374900-D44-E44</f>
        <v>125400</v>
      </c>
      <c r="G44" s="145">
        <f>AVERAGE(D44:F44)</f>
        <v>124966.66666666667</v>
      </c>
      <c r="H44" s="355">
        <f>SUM(D44:G44)</f>
        <v>499866.66666666669</v>
      </c>
      <c r="I44" s="316">
        <f>D44*(1+I45)</f>
        <v>158125</v>
      </c>
      <c r="J44" s="317">
        <f t="shared" ref="J44:L44" si="191">E44*(1+J45)</f>
        <v>147600</v>
      </c>
      <c r="K44" s="317">
        <f t="shared" si="191"/>
        <v>159258</v>
      </c>
      <c r="L44" s="318">
        <f t="shared" si="191"/>
        <v>143711.66666666666</v>
      </c>
      <c r="M44" s="144">
        <f>H44*(1+M45)</f>
        <v>624833.33333333337</v>
      </c>
      <c r="N44" s="316">
        <f t="shared" ref="N44" si="192">I44*(1+N45)</f>
        <v>205562.5</v>
      </c>
      <c r="O44" s="317">
        <f t="shared" ref="O44" si="193">J44*(1+O45)</f>
        <v>203687.99999999997</v>
      </c>
      <c r="P44" s="317">
        <f t="shared" ref="P44" si="194">K44*(1+P45)</f>
        <v>207035.4</v>
      </c>
      <c r="Q44" s="318">
        <f t="shared" ref="Q44:S44" si="195">L44*(1+Q45)</f>
        <v>183950.93333333332</v>
      </c>
      <c r="R44" s="144">
        <f t="shared" si="195"/>
        <v>812283.33333333337</v>
      </c>
      <c r="S44" s="316">
        <f t="shared" si="195"/>
        <v>261064.375</v>
      </c>
      <c r="T44" s="317">
        <f t="shared" ref="T44" si="196">O44*(1+T45)</f>
        <v>254609.99999999997</v>
      </c>
      <c r="U44" s="317">
        <f t="shared" ref="U44" si="197">P44*(1+U45)</f>
        <v>248442.47999999998</v>
      </c>
      <c r="V44" s="318">
        <f t="shared" ref="V44:X44" si="198">Q44*(1+V45)</f>
        <v>218901.61066666665</v>
      </c>
      <c r="W44" s="144">
        <f t="shared" si="198"/>
        <v>1015354.1666666667</v>
      </c>
      <c r="X44" s="316">
        <f t="shared" si="198"/>
        <v>292392.10000000003</v>
      </c>
      <c r="Y44" s="317">
        <f t="shared" ref="Y44" si="199">T44*(1+Y45)</f>
        <v>292801.49999999994</v>
      </c>
      <c r="Z44" s="317">
        <f t="shared" ref="Z44" si="200">U44*(1+Z45)</f>
        <v>278255.57760000002</v>
      </c>
      <c r="AA44" s="318">
        <f t="shared" ref="AA44:AB44" si="201">V44*(1+AA45)</f>
        <v>236413.73952</v>
      </c>
      <c r="AB44" s="144">
        <f t="shared" si="201"/>
        <v>1127043.1250000002</v>
      </c>
      <c r="AC44" s="145">
        <f t="shared" ref="AC44" si="202">X44*(1+AC45)</f>
        <v>336250.91500000004</v>
      </c>
      <c r="AD44" s="145">
        <f t="shared" ref="AD44" si="203">Y44*(1+AD45)</f>
        <v>342577.75499999989</v>
      </c>
      <c r="AE44" s="145">
        <f t="shared" ref="AE44" si="204">Z44*(1+AE45)</f>
        <v>319993.91424000001</v>
      </c>
      <c r="AF44" s="145">
        <f t="shared" ref="AF44" si="205">AA44*(1+AF45)</f>
        <v>267147.52565759997</v>
      </c>
      <c r="AG44" s="144">
        <f t="shared" ref="AG44" si="206">AB44*(1+AG45)</f>
        <v>1296099.5937500002</v>
      </c>
      <c r="AH44" s="145">
        <f t="shared" ref="AH44" si="207">AC44*(1+AH45)</f>
        <v>336250.91500000004</v>
      </c>
      <c r="AI44" s="145">
        <f t="shared" ref="AI44" si="208">AD44*(1+AI45)</f>
        <v>342577.75499999989</v>
      </c>
      <c r="AJ44" s="145">
        <f t="shared" ref="AJ44" si="209">AE44*(1+AJ45)</f>
        <v>319993.91424000001</v>
      </c>
      <c r="AK44" s="145">
        <f t="shared" ref="AK44" si="210">AF44*(1+AK45)</f>
        <v>267147.52565759997</v>
      </c>
      <c r="AL44" s="146">
        <f t="shared" ref="AL44" si="211">AG44*(1+AL45)</f>
        <v>1386826.5653125003</v>
      </c>
      <c r="AM44" s="145"/>
      <c r="AN44" s="51"/>
      <c r="AO44" s="51"/>
      <c r="AP44" s="51"/>
      <c r="AQ44" s="51"/>
      <c r="AR44" s="75"/>
      <c r="AS44" s="51"/>
    </row>
    <row r="45" spans="1:47" s="26" customFormat="1" ht="13.9" x14ac:dyDescent="0.4">
      <c r="B45" s="147" t="s">
        <v>131</v>
      </c>
      <c r="C45" s="71"/>
      <c r="D45" s="330">
        <f>D44/106700-1</f>
        <v>0.18556701030927836</v>
      </c>
      <c r="E45" s="167">
        <f>E44/106800-1</f>
        <v>0.151685393258427</v>
      </c>
      <c r="F45" s="167">
        <f>F44/106800-1</f>
        <v>0.17415730337078661</v>
      </c>
      <c r="G45" s="194">
        <f>G44/110700-1</f>
        <v>0.12887684432399893</v>
      </c>
      <c r="H45" s="190">
        <f>H44/429600-1</f>
        <v>0.16356300434512727</v>
      </c>
      <c r="I45" s="319">
        <v>0.25</v>
      </c>
      <c r="J45" s="195">
        <v>0.2</v>
      </c>
      <c r="K45" s="195">
        <v>0.27</v>
      </c>
      <c r="L45" s="320">
        <v>0.15</v>
      </c>
      <c r="M45" s="190">
        <v>0.25</v>
      </c>
      <c r="N45" s="329">
        <v>0.3</v>
      </c>
      <c r="O45" s="195">
        <v>0.38</v>
      </c>
      <c r="P45" s="195">
        <v>0.3</v>
      </c>
      <c r="Q45" s="320">
        <v>0.28000000000000003</v>
      </c>
      <c r="R45" s="190">
        <v>0.3</v>
      </c>
      <c r="S45" s="319">
        <v>0.27</v>
      </c>
      <c r="T45" s="195">
        <v>0.25</v>
      </c>
      <c r="U45" s="195">
        <v>0.2</v>
      </c>
      <c r="V45" s="320">
        <v>0.19</v>
      </c>
      <c r="W45" s="190">
        <v>0.25</v>
      </c>
      <c r="X45" s="319">
        <v>0.12</v>
      </c>
      <c r="Y45" s="195">
        <v>0.15</v>
      </c>
      <c r="Z45" s="195">
        <v>0.12</v>
      </c>
      <c r="AA45" s="320">
        <v>0.08</v>
      </c>
      <c r="AB45" s="190">
        <v>0.11</v>
      </c>
      <c r="AC45" s="195">
        <v>0.15</v>
      </c>
      <c r="AD45" s="195">
        <v>0.17</v>
      </c>
      <c r="AE45" s="195">
        <v>0.15</v>
      </c>
      <c r="AF45" s="195">
        <v>0.13</v>
      </c>
      <c r="AG45" s="190">
        <v>0.15</v>
      </c>
      <c r="AH45" s="195"/>
      <c r="AI45" s="195"/>
      <c r="AJ45" s="195"/>
      <c r="AK45" s="195"/>
      <c r="AL45" s="217">
        <v>7.0000000000000007E-2</v>
      </c>
      <c r="AM45" s="194"/>
      <c r="AN45" s="71"/>
      <c r="AO45" s="71"/>
      <c r="AP45" s="71"/>
      <c r="AQ45" s="71"/>
      <c r="AR45" s="91"/>
      <c r="AS45" s="71"/>
      <c r="AT45" s="51"/>
      <c r="AU45" s="90"/>
    </row>
    <row r="46" spans="1:47" x14ac:dyDescent="0.35">
      <c r="B46" s="142" t="s">
        <v>129</v>
      </c>
      <c r="C46" s="51"/>
      <c r="D46" s="209">
        <f>D47/(D44/10^6)</f>
        <v>294.43478260869568</v>
      </c>
      <c r="E46" s="210">
        <f>E47/(E44/10^6)</f>
        <v>296.47967479674799</v>
      </c>
      <c r="F46" s="210">
        <f>F47/(F44/10^6)</f>
        <v>299.73684210526318</v>
      </c>
      <c r="G46" s="210">
        <f>G47/(G44/10^6)</f>
        <v>296.87916777807413</v>
      </c>
      <c r="H46" s="211">
        <f>H47/(H44/10^6)</f>
        <v>296.87916777807413</v>
      </c>
      <c r="I46" s="209">
        <f t="shared" ref="I46:M46" si="212">I47/(I44/10^6)</f>
        <v>294.43478260869568</v>
      </c>
      <c r="J46" s="210">
        <f t="shared" si="212"/>
        <v>321.18631436314359</v>
      </c>
      <c r="K46" s="210">
        <f t="shared" si="212"/>
        <v>306.81723995026937</v>
      </c>
      <c r="L46" s="321">
        <f t="shared" si="212"/>
        <v>327.8578635462211</v>
      </c>
      <c r="M46" s="211">
        <f t="shared" si="212"/>
        <v>308.75433448919716</v>
      </c>
      <c r="N46" s="209">
        <f t="shared" ref="N46" si="213">N47/(N44/10^6)</f>
        <v>271.78595317725757</v>
      </c>
      <c r="O46" s="210">
        <f t="shared" ref="O46" si="214">O47/(O44/10^6)</f>
        <v>295.58450669651626</v>
      </c>
      <c r="P46" s="210">
        <f t="shared" ref="P46" si="215">P47/(P44/10^6)</f>
        <v>290.29631164525489</v>
      </c>
      <c r="Q46" s="321">
        <f t="shared" ref="Q46" si="216">Q47/(Q44/10^6)</f>
        <v>294.55979927980798</v>
      </c>
      <c r="R46" s="211">
        <f t="shared" ref="R46" si="217">R47/(R44/10^6)</f>
        <v>320.62950120032014</v>
      </c>
      <c r="S46" s="209">
        <f t="shared" ref="S46" si="218">S47/(S44/10^6)</f>
        <v>256.80562504937717</v>
      </c>
      <c r="T46" s="210">
        <f t="shared" ref="T46" si="219">T47/(T44/10^6)</f>
        <v>300.31385880366059</v>
      </c>
      <c r="U46" s="210">
        <f t="shared" ref="U46" si="220">U47/(U44/10^6)</f>
        <v>290.29631164525489</v>
      </c>
      <c r="V46" s="321">
        <f t="shared" ref="V46" si="221">V47/(V44/10^6)</f>
        <v>294.55979927980798</v>
      </c>
      <c r="W46" s="211">
        <f t="shared" ref="W46" si="222">W47/(W44/10^6)</f>
        <v>307.8043211523073</v>
      </c>
      <c r="X46" s="209">
        <f t="shared" ref="X46" si="223">X47/(X44/10^6)</f>
        <v>256.80562504937717</v>
      </c>
      <c r="Y46" s="210">
        <f t="shared" ref="Y46" si="224">Y47/(Y44/10^6)</f>
        <v>300.31385880366054</v>
      </c>
      <c r="Z46" s="210">
        <f t="shared" ref="Z46" si="225">Z47/(Z44/10^6)</f>
        <v>292.88824299923033</v>
      </c>
      <c r="AA46" s="321">
        <f t="shared" ref="AA46" si="226">AA47/(AA44/10^6)</f>
        <v>294.55979927980798</v>
      </c>
      <c r="AB46" s="211">
        <f t="shared" ref="AB46" si="227">AB47/(AB44/10^6)</f>
        <v>318.8963687613994</v>
      </c>
      <c r="AC46" s="210">
        <f t="shared" ref="AC46" si="228">AC47/(AC44/10^6)</f>
        <v>267.97108700804574</v>
      </c>
      <c r="AD46" s="210">
        <f t="shared" ref="AD46" si="229">AD47/(AD44/10^6)</f>
        <v>308.01421415760058</v>
      </c>
      <c r="AE46" s="210">
        <f t="shared" ref="AE46" si="230">AE47/(AE44/10^6)</f>
        <v>292.88824299923027</v>
      </c>
      <c r="AF46" s="210">
        <f t="shared" ref="AF46" si="231">AF47/(AF44/10^6)</f>
        <v>307.59341871696762</v>
      </c>
      <c r="AG46" s="211">
        <f t="shared" ref="AG46" si="232">AG47/(AG44/10^6)</f>
        <v>332.76142827276459</v>
      </c>
      <c r="AH46" s="210">
        <f t="shared" ref="AH46" si="233">AH47/(AH44/10^6)</f>
        <v>267.97108700804574</v>
      </c>
      <c r="AI46" s="210">
        <f t="shared" ref="AI46" si="234">AI47/(AI44/10^6)</f>
        <v>308.01421415760058</v>
      </c>
      <c r="AJ46" s="210">
        <f t="shared" ref="AJ46" si="235">AJ47/(AJ44/10^6)</f>
        <v>292.88824299923027</v>
      </c>
      <c r="AK46" s="210">
        <f t="shared" ref="AK46" si="236">AK47/(AK44/10^6)</f>
        <v>307.59341871696762</v>
      </c>
      <c r="AL46" s="212">
        <f t="shared" ref="AL46" si="237">AL47/(AL44/10^6)</f>
        <v>338.98126805356395</v>
      </c>
      <c r="AM46" s="210"/>
      <c r="AN46" s="51"/>
      <c r="AO46" s="51"/>
      <c r="AP46" s="51"/>
      <c r="AQ46" s="51"/>
      <c r="AR46" s="75"/>
      <c r="AS46" s="51"/>
      <c r="AT46" s="51" t="s">
        <v>36</v>
      </c>
      <c r="AU46" s="90" t="s">
        <v>253</v>
      </c>
    </row>
    <row r="47" spans="1:47" s="19" customFormat="1" ht="13.9" x14ac:dyDescent="0.4">
      <c r="B47" s="176" t="s">
        <v>133</v>
      </c>
      <c r="C47" s="52"/>
      <c r="D47" s="331">
        <v>37.246000000000002</v>
      </c>
      <c r="E47" s="78">
        <v>36.466999999999999</v>
      </c>
      <c r="F47" s="78">
        <f>111.3-SUM(D47:E47)</f>
        <v>37.587000000000003</v>
      </c>
      <c r="G47" s="78">
        <f>AVERAGE(D47:F47)</f>
        <v>37.1</v>
      </c>
      <c r="H47" s="74">
        <f>SUM(D47:G47)</f>
        <v>148.4</v>
      </c>
      <c r="I47" s="322">
        <f>D47*(1+I48)</f>
        <v>46.557500000000005</v>
      </c>
      <c r="J47" s="73">
        <f t="shared" ref="J47:L47" si="238">E47*(1+J48)</f>
        <v>47.4071</v>
      </c>
      <c r="K47" s="73">
        <f t="shared" si="238"/>
        <v>48.863100000000003</v>
      </c>
      <c r="L47" s="323">
        <f t="shared" si="238"/>
        <v>47.117000000000004</v>
      </c>
      <c r="M47" s="74">
        <f>H47*(1+M48)</f>
        <v>192.92000000000002</v>
      </c>
      <c r="N47" s="322">
        <f t="shared" ref="N47" si="239">I47*(1+N48)</f>
        <v>55.869000000000007</v>
      </c>
      <c r="O47" s="73">
        <f t="shared" ref="O47" si="240">J47*(1+O48)</f>
        <v>60.207017</v>
      </c>
      <c r="P47" s="73">
        <f t="shared" ref="P47" si="241">K47*(1+P48)</f>
        <v>60.101613</v>
      </c>
      <c r="Q47" s="323">
        <f t="shared" ref="Q47:S47" si="242">L47*(1+Q48)</f>
        <v>54.184550000000002</v>
      </c>
      <c r="R47" s="74">
        <f t="shared" si="242"/>
        <v>260.44200000000006</v>
      </c>
      <c r="S47" s="322">
        <f t="shared" si="242"/>
        <v>67.0428</v>
      </c>
      <c r="T47" s="73">
        <f t="shared" ref="T47" si="243">O47*(1+T48)</f>
        <v>76.462911590000004</v>
      </c>
      <c r="U47" s="73">
        <f t="shared" ref="U47" si="244">P47*(1+U48)</f>
        <v>72.1219356</v>
      </c>
      <c r="V47" s="323">
        <f t="shared" ref="V47:X47" si="245">Q47*(1+V48)</f>
        <v>64.479614499999997</v>
      </c>
      <c r="W47" s="74">
        <f t="shared" si="245"/>
        <v>312.53040000000004</v>
      </c>
      <c r="X47" s="322">
        <f t="shared" si="245"/>
        <v>75.087936000000013</v>
      </c>
      <c r="Y47" s="73">
        <f t="shared" ref="Y47" si="246">T47*(1+Y48)</f>
        <v>87.932348328499998</v>
      </c>
      <c r="Z47" s="73">
        <f t="shared" ref="Z47" si="247">U47*(1+Z48)</f>
        <v>81.497787227999993</v>
      </c>
      <c r="AA47" s="323">
        <f t="shared" ref="AA47:AB47" si="248">V47*(1+AA48)</f>
        <v>69.637983660000003</v>
      </c>
      <c r="AB47" s="74">
        <f t="shared" si="248"/>
        <v>359.40996000000001</v>
      </c>
      <c r="AC47" s="73">
        <f t="shared" ref="AC47" si="249">X47*(1+AC48)</f>
        <v>90.105523200000007</v>
      </c>
      <c r="AD47" s="73">
        <f t="shared" ref="AD47" si="250">Y47*(1+AD48)</f>
        <v>105.51881799419999</v>
      </c>
      <c r="AE47" s="73">
        <f t="shared" ref="AE47" si="251">Z47*(1+AE48)</f>
        <v>93.722455312199983</v>
      </c>
      <c r="AF47" s="73">
        <f t="shared" ref="AF47" si="252">AA47*(1+AF48)</f>
        <v>82.172820718799997</v>
      </c>
      <c r="AG47" s="74">
        <f t="shared" ref="AG47" si="253">AB47*(1+AG48)</f>
        <v>431.29195199999998</v>
      </c>
      <c r="AH47" s="73">
        <f t="shared" ref="AH47" si="254">AC47*(1+AH48)</f>
        <v>90.105523200000007</v>
      </c>
      <c r="AI47" s="73">
        <f t="shared" ref="AI47" si="255">AD47*(1+AI48)</f>
        <v>105.51881799419999</v>
      </c>
      <c r="AJ47" s="73">
        <f t="shared" ref="AJ47" si="256">AE47*(1+AJ48)</f>
        <v>93.722455312199983</v>
      </c>
      <c r="AK47" s="73">
        <f t="shared" ref="AK47" si="257">AF47*(1+AK48)</f>
        <v>82.172820718799997</v>
      </c>
      <c r="AL47" s="141">
        <f t="shared" ref="AL47" si="258">AG47*(1+AL48)</f>
        <v>470.10822768000003</v>
      </c>
      <c r="AM47" s="73"/>
      <c r="AN47" s="52"/>
      <c r="AO47" s="52"/>
      <c r="AP47" s="52"/>
      <c r="AQ47" s="52"/>
      <c r="AR47" s="80"/>
      <c r="AS47" s="52"/>
      <c r="AT47" s="52"/>
      <c r="AU47" s="52"/>
    </row>
    <row r="48" spans="1:47" s="26" customFormat="1" ht="13.9" x14ac:dyDescent="0.4">
      <c r="B48" s="147" t="s">
        <v>39</v>
      </c>
      <c r="C48" s="71"/>
      <c r="D48" s="330">
        <f>D47/33.3-1</f>
        <v>0.11849849849849869</v>
      </c>
      <c r="E48" s="167">
        <f>E47/35.715-1</f>
        <v>2.1055578888422133E-2</v>
      </c>
      <c r="F48" s="167">
        <f>F47/36-1</f>
        <v>4.4083333333333474E-2</v>
      </c>
      <c r="G48" s="167">
        <f>G47/35.9-1</f>
        <v>3.3426183844011303E-2</v>
      </c>
      <c r="H48" s="190">
        <f>H47/140.9-1</f>
        <v>5.3229240596167404E-2</v>
      </c>
      <c r="I48" s="319">
        <v>0.25</v>
      </c>
      <c r="J48" s="195">
        <v>0.3</v>
      </c>
      <c r="K48" s="195">
        <v>0.3</v>
      </c>
      <c r="L48" s="320">
        <v>0.27</v>
      </c>
      <c r="M48" s="190">
        <v>0.3</v>
      </c>
      <c r="N48" s="319">
        <v>0.2</v>
      </c>
      <c r="O48" s="195">
        <v>0.27</v>
      </c>
      <c r="P48" s="195">
        <v>0.23</v>
      </c>
      <c r="Q48" s="320">
        <v>0.15</v>
      </c>
      <c r="R48" s="190">
        <v>0.35</v>
      </c>
      <c r="S48" s="319">
        <v>0.2</v>
      </c>
      <c r="T48" s="195">
        <v>0.27</v>
      </c>
      <c r="U48" s="195">
        <v>0.2</v>
      </c>
      <c r="V48" s="320">
        <v>0.19</v>
      </c>
      <c r="W48" s="190">
        <v>0.2</v>
      </c>
      <c r="X48" s="319">
        <v>0.12</v>
      </c>
      <c r="Y48" s="195">
        <v>0.15</v>
      </c>
      <c r="Z48" s="195">
        <v>0.13</v>
      </c>
      <c r="AA48" s="320">
        <v>0.08</v>
      </c>
      <c r="AB48" s="190">
        <v>0.15</v>
      </c>
      <c r="AC48" s="195">
        <v>0.2</v>
      </c>
      <c r="AD48" s="195">
        <v>0.2</v>
      </c>
      <c r="AE48" s="195">
        <v>0.15</v>
      </c>
      <c r="AF48" s="195">
        <v>0.18</v>
      </c>
      <c r="AG48" s="190">
        <v>0.2</v>
      </c>
      <c r="AH48" s="195"/>
      <c r="AI48" s="195"/>
      <c r="AJ48" s="195"/>
      <c r="AK48" s="195"/>
      <c r="AL48" s="217">
        <v>0.09</v>
      </c>
      <c r="AM48" s="194"/>
      <c r="AN48" s="71"/>
      <c r="AO48" s="71"/>
      <c r="AP48" s="71"/>
      <c r="AQ48" s="71"/>
      <c r="AR48" s="91"/>
      <c r="AS48" s="71"/>
      <c r="AT48" s="71"/>
      <c r="AU48" s="71"/>
    </row>
    <row r="49" spans="2:52" ht="5.75" customHeight="1" x14ac:dyDescent="0.35">
      <c r="B49" s="142"/>
      <c r="C49" s="51"/>
      <c r="D49" s="202"/>
      <c r="E49" s="179"/>
      <c r="F49" s="179"/>
      <c r="G49" s="179"/>
      <c r="H49" s="75"/>
      <c r="I49" s="118"/>
      <c r="J49" s="51"/>
      <c r="K49" s="51"/>
      <c r="L49" s="53"/>
      <c r="M49" s="75"/>
      <c r="N49" s="118"/>
      <c r="O49" s="51"/>
      <c r="P49" s="51"/>
      <c r="Q49" s="53"/>
      <c r="R49" s="75"/>
      <c r="S49" s="118"/>
      <c r="T49" s="51"/>
      <c r="U49" s="51"/>
      <c r="V49" s="53"/>
      <c r="W49" s="75"/>
      <c r="X49" s="118"/>
      <c r="Y49" s="51"/>
      <c r="Z49" s="51"/>
      <c r="AA49" s="53"/>
      <c r="AB49" s="75"/>
      <c r="AC49" s="51"/>
      <c r="AD49" s="51"/>
      <c r="AE49" s="51"/>
      <c r="AF49" s="51"/>
      <c r="AG49" s="75"/>
      <c r="AH49" s="51"/>
      <c r="AI49" s="51"/>
      <c r="AJ49" s="51"/>
      <c r="AK49" s="51"/>
      <c r="AL49" s="121"/>
      <c r="AM49" s="51"/>
      <c r="AN49" s="51"/>
      <c r="AO49" s="51"/>
      <c r="AP49" s="51"/>
      <c r="AQ49" s="51"/>
      <c r="AR49" s="75"/>
      <c r="AS49" s="51"/>
      <c r="AT49" s="51"/>
      <c r="AU49" s="51"/>
    </row>
    <row r="50" spans="2:52" x14ac:dyDescent="0.35">
      <c r="B50" s="176" t="s">
        <v>116</v>
      </c>
      <c r="C50" s="51"/>
      <c r="D50" s="202"/>
      <c r="E50" s="179"/>
      <c r="F50" s="179"/>
      <c r="G50" s="143"/>
      <c r="H50" s="75"/>
      <c r="I50" s="118"/>
      <c r="J50" s="51"/>
      <c r="K50" s="51"/>
      <c r="L50" s="53"/>
      <c r="M50" s="75"/>
      <c r="N50" s="118"/>
      <c r="O50" s="51"/>
      <c r="P50" s="51"/>
      <c r="Q50" s="53"/>
      <c r="R50" s="75"/>
      <c r="S50" s="118"/>
      <c r="T50" s="51"/>
      <c r="U50" s="51"/>
      <c r="V50" s="53"/>
      <c r="W50" s="75"/>
      <c r="X50" s="118"/>
      <c r="Y50" s="51"/>
      <c r="Z50" s="51"/>
      <c r="AA50" s="53"/>
      <c r="AB50" s="75"/>
      <c r="AC50" s="51"/>
      <c r="AD50" s="51"/>
      <c r="AE50" s="51"/>
      <c r="AF50" s="51"/>
      <c r="AG50" s="75"/>
      <c r="AH50" s="51"/>
      <c r="AI50" s="51"/>
      <c r="AJ50" s="51"/>
      <c r="AK50" s="51"/>
      <c r="AL50" s="121"/>
      <c r="AM50" s="51"/>
      <c r="AN50" s="51"/>
      <c r="AO50" s="51"/>
      <c r="AP50" s="51"/>
      <c r="AQ50" s="51"/>
      <c r="AR50" s="75"/>
      <c r="AS50" s="51"/>
      <c r="AT50" s="51"/>
      <c r="AU50" s="218"/>
    </row>
    <row r="51" spans="2:52" x14ac:dyDescent="0.35">
      <c r="B51" s="142" t="s">
        <v>132</v>
      </c>
      <c r="C51" s="51"/>
      <c r="D51" s="332">
        <v>54300</v>
      </c>
      <c r="E51" s="143">
        <f>107400-D51</f>
        <v>53100</v>
      </c>
      <c r="F51" s="143">
        <f>162300-D51-E51</f>
        <v>54900</v>
      </c>
      <c r="G51" s="145">
        <f>AVERAGE(D51:F51)</f>
        <v>54100</v>
      </c>
      <c r="H51" s="355">
        <f>SUM(D51:G51)</f>
        <v>216400</v>
      </c>
      <c r="I51" s="324">
        <f>D51*(1+I52)</f>
        <v>67875</v>
      </c>
      <c r="J51" s="145">
        <f t="shared" ref="J51" si="259">E51*(1+J52)</f>
        <v>69030</v>
      </c>
      <c r="K51" s="145">
        <f t="shared" ref="K51" si="260">F51*(1+K52)</f>
        <v>68625</v>
      </c>
      <c r="L51" s="325">
        <f t="shared" ref="L51" si="261">G51*(1+L52)</f>
        <v>60051.000000000007</v>
      </c>
      <c r="M51" s="144">
        <f>H51*(1+M52)</f>
        <v>259680</v>
      </c>
      <c r="N51" s="324">
        <f t="shared" ref="N51" si="262">I51*(1+N52)</f>
        <v>86201.25</v>
      </c>
      <c r="O51" s="145">
        <f t="shared" ref="O51" si="263">J51*(1+O52)</f>
        <v>93190.5</v>
      </c>
      <c r="P51" s="145">
        <f t="shared" ref="P51" si="264">K51*(1+P52)</f>
        <v>89212.5</v>
      </c>
      <c r="Q51" s="325">
        <f t="shared" ref="Q51:S51" si="265">L51*(1+Q52)</f>
        <v>76264.77</v>
      </c>
      <c r="R51" s="144">
        <f t="shared" si="265"/>
        <v>350568</v>
      </c>
      <c r="S51" s="324">
        <f t="shared" si="265"/>
        <v>107751.5625</v>
      </c>
      <c r="T51" s="145">
        <f t="shared" ref="T51" si="266">O51*(1+T52)</f>
        <v>121147.65000000001</v>
      </c>
      <c r="U51" s="145">
        <f t="shared" ref="U51" si="267">P51*(1+U52)</f>
        <v>111515.625</v>
      </c>
      <c r="V51" s="325">
        <f t="shared" ref="V51:X51" si="268">Q51*(1+V52)</f>
        <v>90755.076300000001</v>
      </c>
      <c r="W51" s="144">
        <f t="shared" si="268"/>
        <v>448727.04000000004</v>
      </c>
      <c r="X51" s="324">
        <f t="shared" si="268"/>
        <v>126069.32812499999</v>
      </c>
      <c r="Y51" s="145">
        <f t="shared" ref="Y51" si="269">T51*(1+Y52)</f>
        <v>144165.7035</v>
      </c>
      <c r="Z51" s="145">
        <f t="shared" ref="Z51" si="270">U51*(1+Z52)</f>
        <v>130473.28124999999</v>
      </c>
      <c r="AA51" s="325">
        <f t="shared" ref="AA51:AC51" si="271">V51*(1+AA52)</f>
        <v>106183.439271</v>
      </c>
      <c r="AB51" s="144">
        <f t="shared" si="271"/>
        <v>529497.90720000002</v>
      </c>
      <c r="AC51" s="145">
        <f t="shared" si="271"/>
        <v>141197.64749999999</v>
      </c>
      <c r="AD51" s="145">
        <f t="shared" ref="AD51" si="272">Y51*(1+AD52)</f>
        <v>162907.244955</v>
      </c>
      <c r="AE51" s="145">
        <f t="shared" ref="AE51" si="273">Z51*(1+AE52)</f>
        <v>144825.34218750001</v>
      </c>
      <c r="AF51" s="145">
        <f t="shared" ref="AF51:AH51" si="274">AA51*(1+AF52)</f>
        <v>117863.61759081001</v>
      </c>
      <c r="AG51" s="144">
        <f t="shared" si="274"/>
        <v>593037.6560640001</v>
      </c>
      <c r="AH51" s="145">
        <f t="shared" si="274"/>
        <v>141197.64749999999</v>
      </c>
      <c r="AI51" s="145">
        <f t="shared" ref="AI51" si="275">AD51*(1+AI52)</f>
        <v>162907.244955</v>
      </c>
      <c r="AJ51" s="145">
        <f t="shared" ref="AJ51" si="276">AE51*(1+AJ52)</f>
        <v>144825.34218750001</v>
      </c>
      <c r="AK51" s="145">
        <f t="shared" ref="AK51:AL51" si="277">AF51*(1+AK52)</f>
        <v>117863.61759081001</v>
      </c>
      <c r="AL51" s="146">
        <f t="shared" si="277"/>
        <v>646411.04510976013</v>
      </c>
      <c r="AM51" s="145"/>
      <c r="AN51" s="51"/>
      <c r="AO51" s="51"/>
      <c r="AP51" s="51"/>
      <c r="AQ51" s="51"/>
      <c r="AR51" s="75"/>
      <c r="AS51" s="51"/>
      <c r="AT51" s="51"/>
      <c r="AU51" s="51"/>
    </row>
    <row r="52" spans="2:52" x14ac:dyDescent="0.35">
      <c r="B52" s="147" t="s">
        <v>118</v>
      </c>
      <c r="C52" s="51"/>
      <c r="D52" s="333">
        <v>0.31</v>
      </c>
      <c r="E52" s="186">
        <v>0.28999999999999998</v>
      </c>
      <c r="F52" s="186">
        <v>0.27</v>
      </c>
      <c r="G52" s="193">
        <f>G51/46100-1</f>
        <v>0.17353579175704992</v>
      </c>
      <c r="H52" s="187">
        <f>H51/173800-1</f>
        <v>0.2451093210586881</v>
      </c>
      <c r="I52" s="319">
        <v>0.25</v>
      </c>
      <c r="J52" s="195">
        <v>0.3</v>
      </c>
      <c r="K52" s="195">
        <v>0.25</v>
      </c>
      <c r="L52" s="320">
        <v>0.11</v>
      </c>
      <c r="M52" s="190">
        <v>0.2</v>
      </c>
      <c r="N52" s="319">
        <v>0.27</v>
      </c>
      <c r="O52" s="195">
        <v>0.35</v>
      </c>
      <c r="P52" s="195">
        <v>0.3</v>
      </c>
      <c r="Q52" s="320">
        <v>0.27</v>
      </c>
      <c r="R52" s="190">
        <v>0.35</v>
      </c>
      <c r="S52" s="319">
        <v>0.25</v>
      </c>
      <c r="T52" s="195">
        <v>0.3</v>
      </c>
      <c r="U52" s="195">
        <v>0.25</v>
      </c>
      <c r="V52" s="320">
        <v>0.19</v>
      </c>
      <c r="W52" s="190">
        <v>0.28000000000000003</v>
      </c>
      <c r="X52" s="319">
        <v>0.17</v>
      </c>
      <c r="Y52" s="195">
        <v>0.19</v>
      </c>
      <c r="Z52" s="195">
        <v>0.17</v>
      </c>
      <c r="AA52" s="320">
        <v>0.17</v>
      </c>
      <c r="AB52" s="190">
        <v>0.18</v>
      </c>
      <c r="AC52" s="195">
        <v>0.12</v>
      </c>
      <c r="AD52" s="195">
        <v>0.13</v>
      </c>
      <c r="AE52" s="195">
        <v>0.11</v>
      </c>
      <c r="AF52" s="195">
        <v>0.11</v>
      </c>
      <c r="AG52" s="190">
        <v>0.12</v>
      </c>
      <c r="AH52" s="195"/>
      <c r="AI52" s="195"/>
      <c r="AJ52" s="195"/>
      <c r="AK52" s="195"/>
      <c r="AL52" s="217">
        <v>0.09</v>
      </c>
      <c r="AM52" s="194"/>
      <c r="AN52" s="51"/>
      <c r="AO52" s="51"/>
      <c r="AP52" s="51"/>
      <c r="AQ52" s="51"/>
      <c r="AR52" s="75"/>
      <c r="AS52" s="51"/>
      <c r="AT52" s="51"/>
      <c r="AU52" s="51"/>
    </row>
    <row r="53" spans="2:52" x14ac:dyDescent="0.35">
      <c r="B53" s="142" t="s">
        <v>130</v>
      </c>
      <c r="C53" s="51"/>
      <c r="D53" s="209">
        <f>D54/(D51/1000000)</f>
        <v>418.95027624309387</v>
      </c>
      <c r="E53" s="210">
        <f t="shared" ref="E53:G53" si="278">E54/(E51/1000000)</f>
        <v>457.36346516007535</v>
      </c>
      <c r="F53" s="210">
        <f t="shared" si="278"/>
        <v>476.59380692167593</v>
      </c>
      <c r="G53" s="210">
        <f t="shared" si="278"/>
        <v>451.01663585951945</v>
      </c>
      <c r="H53" s="211">
        <f>H54/(H51/1000000)</f>
        <v>451.01663585951945</v>
      </c>
      <c r="I53" s="209">
        <f t="shared" ref="I53" si="279">I54/(I51/10^6)</f>
        <v>418.95027624309387</v>
      </c>
      <c r="J53" s="210">
        <f t="shared" ref="J53" si="280">J54/(J51/10^6)</f>
        <v>453.84528465884404</v>
      </c>
      <c r="K53" s="210">
        <f t="shared" ref="K53" si="281">K54/(K51/10^6)</f>
        <v>427.02805100182161</v>
      </c>
      <c r="L53" s="321">
        <f t="shared" ref="L53" si="282">L54/(L51/10^6)</f>
        <v>451.0166358595194</v>
      </c>
      <c r="M53" s="211">
        <f t="shared" ref="M53" si="283">M54/(M51/10^6)</f>
        <v>499.87677141096736</v>
      </c>
      <c r="N53" s="209">
        <f t="shared" ref="N53" si="284">N54/(N51/10^6)</f>
        <v>418.95027624309392</v>
      </c>
      <c r="O53" s="210">
        <f t="shared" ref="O53" si="285">O54/(O51/10^6)</f>
        <v>453.84528465884409</v>
      </c>
      <c r="P53" s="210">
        <f t="shared" ref="P53" si="286">P54/(P51/10^6)</f>
        <v>427.02805100182167</v>
      </c>
      <c r="Q53" s="321">
        <f t="shared" ref="Q53" si="287">Q54/(Q51/10^6)</f>
        <v>461.67057213966552</v>
      </c>
      <c r="R53" s="211">
        <f t="shared" ref="R53" si="288">R54/(R51/10^6)</f>
        <v>518.39072590766989</v>
      </c>
      <c r="S53" s="209">
        <f t="shared" ref="S53" si="289">S54/(S51/10^6)</f>
        <v>375.37944751381218</v>
      </c>
      <c r="T53" s="210">
        <f t="shared" ref="T53" si="290">T54/(T51/10^6)</f>
        <v>408.46075619295959</v>
      </c>
      <c r="U53" s="210">
        <f t="shared" ref="U53" si="291">U54/(U51/10^6)</f>
        <v>375.78468488160314</v>
      </c>
      <c r="V53" s="321">
        <f t="shared" ref="V53" si="292">V54/(V51/10^6)</f>
        <v>430.63389502103263</v>
      </c>
      <c r="W53" s="211">
        <f t="shared" ref="W53" si="293">W54/(W51/10^6)</f>
        <v>465.74166780767212</v>
      </c>
      <c r="X53" s="209">
        <f t="shared" ref="X53" si="294">X54/(X51/10^6)</f>
        <v>352.92084808990893</v>
      </c>
      <c r="Y53" s="210">
        <f t="shared" ref="Y53" si="295">Y54/(Y51/10^6)</f>
        <v>377.56876622878627</v>
      </c>
      <c r="Z53" s="210">
        <f t="shared" ref="Z53" si="296">Z54/(Z51/10^6)</f>
        <v>353.30184048697737</v>
      </c>
      <c r="AA53" s="321">
        <f t="shared" ref="AA53" si="297">AA54/(AA51/10^6)</f>
        <v>404.86947395139828</v>
      </c>
      <c r="AB53" s="211">
        <f t="shared" ref="AB53" si="298">AB54/(AB51/10^6)</f>
        <v>434.16596151562658</v>
      </c>
      <c r="AC53" s="210">
        <f t="shared" ref="AC53" si="299">AC54/(AC51/10^6)</f>
        <v>362.3740850923171</v>
      </c>
      <c r="AD53" s="210">
        <f t="shared" ref="AD53" si="300">AD54/(AD51/10^6)</f>
        <v>384.25139925938419</v>
      </c>
      <c r="AE53" s="210">
        <f t="shared" ref="AE53" si="301">AE54/(AE51/10^6)</f>
        <v>372.39923727005714</v>
      </c>
      <c r="AF53" s="210">
        <f t="shared" ref="AF53" si="302">AF54/(AF51/10^6)</f>
        <v>419.45936490460173</v>
      </c>
      <c r="AG53" s="211">
        <f t="shared" ref="AG53" si="303">AG54/(AG51/10^6)</f>
        <v>445.79540691336649</v>
      </c>
      <c r="AH53" s="210">
        <f t="shared" ref="AH53" si="304">AH54/(AH51/10^6)</f>
        <v>362.3740850923171</v>
      </c>
      <c r="AI53" s="210">
        <f t="shared" ref="AI53" si="305">AI54/(AI51/10^6)</f>
        <v>384.25139925938419</v>
      </c>
      <c r="AJ53" s="210">
        <f t="shared" ref="AJ53" si="306">AJ54/(AJ51/10^6)</f>
        <v>372.39923727005714</v>
      </c>
      <c r="AK53" s="210">
        <f t="shared" ref="AK53" si="307">AK54/(AK51/10^6)</f>
        <v>419.45936490460173</v>
      </c>
      <c r="AL53" s="212">
        <f t="shared" ref="AL53" si="308">AL54/(AL51/10^6)</f>
        <v>429.43594243948155</v>
      </c>
      <c r="AM53" s="210"/>
      <c r="AN53" s="51"/>
      <c r="AO53" s="51"/>
      <c r="AP53" s="51"/>
      <c r="AQ53" s="51"/>
      <c r="AR53" s="75"/>
      <c r="AS53" s="51"/>
      <c r="AT53" s="51"/>
      <c r="AU53" s="51"/>
    </row>
    <row r="54" spans="2:52" s="19" customFormat="1" ht="13.9" x14ac:dyDescent="0.4">
      <c r="B54" s="176" t="s">
        <v>133</v>
      </c>
      <c r="C54" s="52"/>
      <c r="D54" s="331">
        <v>22.748999999999999</v>
      </c>
      <c r="E54" s="78">
        <v>24.286000000000001</v>
      </c>
      <c r="F54" s="78">
        <f>73.2-SUM(D54:E54)</f>
        <v>26.165000000000006</v>
      </c>
      <c r="G54" s="78">
        <f>AVERAGE(D54:F54)</f>
        <v>24.400000000000002</v>
      </c>
      <c r="H54" s="74">
        <f>SUM(D54:G54)</f>
        <v>97.600000000000009</v>
      </c>
      <c r="I54" s="322">
        <f>D54*(1+I55)</f>
        <v>28.436249999999998</v>
      </c>
      <c r="J54" s="73">
        <f t="shared" ref="J54" si="309">E54*(1+J55)</f>
        <v>31.328940000000003</v>
      </c>
      <c r="K54" s="73">
        <f t="shared" ref="K54" si="310">F54*(1+K55)</f>
        <v>29.304800000000011</v>
      </c>
      <c r="L54" s="323">
        <f t="shared" ref="L54" si="311">G54*(1+L55)</f>
        <v>27.084000000000003</v>
      </c>
      <c r="M54" s="74">
        <f>H54*(1+M55)</f>
        <v>129.80800000000002</v>
      </c>
      <c r="N54" s="322">
        <f t="shared" ref="N54" si="312">I54*(1+N55)</f>
        <v>36.114037499999995</v>
      </c>
      <c r="O54" s="73">
        <f t="shared" ref="O54" si="313">J54*(1+O55)</f>
        <v>42.294069000000007</v>
      </c>
      <c r="P54" s="73">
        <f t="shared" ref="P54" si="314">K54*(1+P55)</f>
        <v>38.096240000000016</v>
      </c>
      <c r="Q54" s="323">
        <f t="shared" ref="Q54:S54" si="315">L54*(1+Q55)</f>
        <v>35.209200000000003</v>
      </c>
      <c r="R54" s="74">
        <f t="shared" si="315"/>
        <v>181.73120000000003</v>
      </c>
      <c r="S54" s="322">
        <f t="shared" si="315"/>
        <v>40.447721999999999</v>
      </c>
      <c r="T54" s="73">
        <f t="shared" ref="T54" si="316">O54*(1+T55)</f>
        <v>49.484060730000003</v>
      </c>
      <c r="U54" s="73">
        <f t="shared" ref="U54" si="317">P54*(1+U55)</f>
        <v>41.905864000000022</v>
      </c>
      <c r="V54" s="323">
        <f t="shared" ref="V54:X54" si="318">Q54*(1+V55)</f>
        <v>39.082212000000006</v>
      </c>
      <c r="W54" s="74">
        <f t="shared" si="318"/>
        <v>208.99088</v>
      </c>
      <c r="X54" s="322">
        <f t="shared" si="318"/>
        <v>44.492494200000003</v>
      </c>
      <c r="Y54" s="73">
        <f t="shared" ref="Y54" si="319">T54*(1+Y55)</f>
        <v>54.432466803000011</v>
      </c>
      <c r="Z54" s="73">
        <f t="shared" ref="Z54" si="320">U54*(1+Z55)</f>
        <v>46.09645040000003</v>
      </c>
      <c r="AA54" s="323">
        <f t="shared" ref="AA54:AC54" si="321">V54*(1+AA55)</f>
        <v>42.990433200000012</v>
      </c>
      <c r="AB54" s="74">
        <f t="shared" si="321"/>
        <v>229.88996800000001</v>
      </c>
      <c r="AC54" s="73">
        <f t="shared" si="321"/>
        <v>51.166368329999997</v>
      </c>
      <c r="AD54" s="73">
        <f t="shared" ref="AD54" si="322">Y54*(1+AD55)</f>
        <v>62.597336823450007</v>
      </c>
      <c r="AE54" s="73">
        <f t="shared" ref="AE54" si="323">Z54*(1+AE55)</f>
        <v>53.932846968000035</v>
      </c>
      <c r="AF54" s="73">
        <f t="shared" ref="AF54:AH54" si="324">AA54*(1+AF55)</f>
        <v>49.438998180000013</v>
      </c>
      <c r="AG54" s="74">
        <f t="shared" si="324"/>
        <v>264.3734632</v>
      </c>
      <c r="AH54" s="73">
        <f t="shared" si="324"/>
        <v>51.166368329999997</v>
      </c>
      <c r="AI54" s="73">
        <f t="shared" ref="AI54" si="325">AD54*(1+AI55)</f>
        <v>62.597336823450007</v>
      </c>
      <c r="AJ54" s="73">
        <f t="shared" ref="AJ54" si="326">AE54*(1+AJ55)</f>
        <v>53.932846968000035</v>
      </c>
      <c r="AK54" s="73">
        <f t="shared" ref="AK54:AL54" si="327">AF54*(1+AK55)</f>
        <v>49.438998180000013</v>
      </c>
      <c r="AL54" s="141">
        <f t="shared" si="327"/>
        <v>277.59213636000004</v>
      </c>
      <c r="AM54" s="73"/>
      <c r="AN54" s="52"/>
      <c r="AO54" s="52"/>
      <c r="AP54" s="52"/>
      <c r="AQ54" s="52"/>
      <c r="AR54" s="80"/>
      <c r="AS54" s="52"/>
      <c r="AT54" s="52"/>
      <c r="AU54" s="52"/>
    </row>
    <row r="55" spans="2:52" x14ac:dyDescent="0.35">
      <c r="B55" s="147" t="s">
        <v>118</v>
      </c>
      <c r="C55" s="51"/>
      <c r="D55" s="330">
        <f>D54/18.3-1</f>
        <v>0.24311475409836047</v>
      </c>
      <c r="E55" s="167">
        <f>E54/21.421-1</f>
        <v>0.13374725736426885</v>
      </c>
      <c r="F55" s="167">
        <f>F54/23.5-1</f>
        <v>0.11340425531914922</v>
      </c>
      <c r="G55" s="167">
        <f>G54/24-1</f>
        <v>1.6666666666666829E-2</v>
      </c>
      <c r="H55" s="190">
        <f>H54/87.2-1</f>
        <v>0.11926605504587151</v>
      </c>
      <c r="I55" s="326">
        <v>0.25</v>
      </c>
      <c r="J55" s="327">
        <v>0.28999999999999998</v>
      </c>
      <c r="K55" s="327">
        <v>0.12</v>
      </c>
      <c r="L55" s="328">
        <v>0.11</v>
      </c>
      <c r="M55" s="190">
        <v>0.33</v>
      </c>
      <c r="N55" s="326">
        <v>0.27</v>
      </c>
      <c r="O55" s="327">
        <v>0.35</v>
      </c>
      <c r="P55" s="327">
        <v>0.3</v>
      </c>
      <c r="Q55" s="328">
        <v>0.3</v>
      </c>
      <c r="R55" s="190">
        <v>0.4</v>
      </c>
      <c r="S55" s="326">
        <v>0.12</v>
      </c>
      <c r="T55" s="327">
        <v>0.17</v>
      </c>
      <c r="U55" s="327">
        <v>0.1</v>
      </c>
      <c r="V55" s="328">
        <v>0.11</v>
      </c>
      <c r="W55" s="190">
        <v>0.15</v>
      </c>
      <c r="X55" s="326">
        <v>0.1</v>
      </c>
      <c r="Y55" s="327">
        <v>0.1</v>
      </c>
      <c r="Z55" s="327">
        <v>0.1</v>
      </c>
      <c r="AA55" s="328">
        <v>0.1</v>
      </c>
      <c r="AB55" s="190">
        <v>0.1</v>
      </c>
      <c r="AC55" s="195">
        <v>0.15</v>
      </c>
      <c r="AD55" s="195">
        <v>0.15</v>
      </c>
      <c r="AE55" s="195">
        <v>0.17</v>
      </c>
      <c r="AF55" s="195">
        <v>0.15</v>
      </c>
      <c r="AG55" s="190">
        <v>0.15</v>
      </c>
      <c r="AH55" s="195"/>
      <c r="AI55" s="195"/>
      <c r="AJ55" s="195"/>
      <c r="AK55" s="195"/>
      <c r="AL55" s="217">
        <v>0.05</v>
      </c>
      <c r="AM55" s="194"/>
      <c r="AN55" s="51"/>
      <c r="AO55" s="51"/>
      <c r="AP55" s="51"/>
      <c r="AQ55" s="51"/>
      <c r="AR55" s="75"/>
      <c r="AS55" s="51"/>
      <c r="AT55" s="51"/>
      <c r="AU55" s="51"/>
    </row>
    <row r="56" spans="2:52" x14ac:dyDescent="0.35">
      <c r="B56" s="177" t="s">
        <v>114</v>
      </c>
      <c r="C56" s="51"/>
      <c r="D56" s="375"/>
      <c r="E56" s="179"/>
      <c r="F56" s="179"/>
      <c r="G56" s="179"/>
      <c r="H56" s="75"/>
      <c r="I56" s="51"/>
      <c r="J56" s="51"/>
      <c r="K56" s="51"/>
      <c r="L56" s="51"/>
      <c r="M56" s="75"/>
      <c r="N56" s="51"/>
      <c r="O56" s="51"/>
      <c r="P56" s="51"/>
      <c r="Q56" s="51"/>
      <c r="R56" s="75"/>
      <c r="S56" s="51"/>
      <c r="T56" s="51"/>
      <c r="U56" s="51"/>
      <c r="V56" s="51"/>
      <c r="W56" s="75"/>
      <c r="X56" s="51"/>
      <c r="Y56" s="51"/>
      <c r="Z56" s="51"/>
      <c r="AA56" s="51"/>
      <c r="AB56" s="75"/>
      <c r="AC56" s="51"/>
      <c r="AD56" s="51"/>
      <c r="AE56" s="51"/>
      <c r="AF56" s="51"/>
      <c r="AG56" s="75"/>
      <c r="AH56" s="51"/>
      <c r="AI56" s="51"/>
      <c r="AJ56" s="51"/>
      <c r="AK56" s="51"/>
      <c r="AL56" s="121"/>
      <c r="AM56" s="51"/>
      <c r="AN56" s="51"/>
      <c r="AO56" s="51"/>
      <c r="AP56" s="51"/>
      <c r="AQ56" s="51"/>
      <c r="AR56" s="75"/>
      <c r="AS56" s="51"/>
      <c r="AT56" s="51"/>
      <c r="AU56" s="51"/>
      <c r="AV56" s="314"/>
      <c r="AW56" s="314"/>
      <c r="AX56" s="314"/>
      <c r="AY56" s="314"/>
      <c r="AZ56" s="314"/>
    </row>
    <row r="57" spans="2:52" ht="13.9" customHeight="1" x14ac:dyDescent="0.35">
      <c r="B57" s="176" t="s">
        <v>113</v>
      </c>
      <c r="C57" s="51"/>
      <c r="D57" s="415" t="s">
        <v>77</v>
      </c>
      <c r="E57" s="416"/>
      <c r="F57" s="416"/>
      <c r="G57" s="416"/>
      <c r="H57" s="417" t="s">
        <v>77</v>
      </c>
      <c r="I57" s="416" t="s">
        <v>77</v>
      </c>
      <c r="J57" s="416"/>
      <c r="K57" s="416"/>
      <c r="L57" s="416"/>
      <c r="M57" s="356"/>
      <c r="N57" s="51"/>
      <c r="O57" s="51"/>
      <c r="P57" s="51"/>
      <c r="Q57" s="51"/>
      <c r="R57" s="75"/>
      <c r="S57" s="51"/>
      <c r="T57" s="51"/>
      <c r="U57" s="51"/>
      <c r="V57" s="51"/>
      <c r="W57" s="75"/>
      <c r="X57" s="51"/>
      <c r="Y57" s="284"/>
      <c r="Z57" s="284"/>
      <c r="AA57" s="284"/>
      <c r="AB57" s="75"/>
      <c r="AC57" s="51"/>
      <c r="AD57" s="90">
        <v>118000</v>
      </c>
      <c r="AE57" s="51"/>
      <c r="AF57" s="51"/>
      <c r="AG57" s="75"/>
      <c r="AH57" s="51"/>
      <c r="AI57" s="51"/>
      <c r="AJ57" s="51"/>
      <c r="AK57" s="51"/>
      <c r="AL57" s="121"/>
      <c r="AM57" s="51"/>
      <c r="AN57" s="51"/>
      <c r="AO57" s="51"/>
      <c r="AP57" s="51"/>
      <c r="AQ57" s="51"/>
      <c r="AR57" s="51"/>
      <c r="AS57" s="51"/>
      <c r="AT57" s="51" t="s">
        <v>36</v>
      </c>
      <c r="AU57" s="90" t="s">
        <v>259</v>
      </c>
    </row>
    <row r="58" spans="2:52" x14ac:dyDescent="0.35">
      <c r="B58" s="142" t="s">
        <v>112</v>
      </c>
      <c r="C58" s="51"/>
      <c r="D58" s="415"/>
      <c r="E58" s="416"/>
      <c r="F58" s="416"/>
      <c r="G58" s="416"/>
      <c r="H58" s="417"/>
      <c r="I58" s="416"/>
      <c r="J58" s="416"/>
      <c r="K58" s="416"/>
      <c r="L58" s="416"/>
      <c r="M58" s="355">
        <v>18000</v>
      </c>
      <c r="N58" s="414" t="s">
        <v>77</v>
      </c>
      <c r="O58" s="414"/>
      <c r="P58" s="414"/>
      <c r="Q58" s="414"/>
      <c r="R58" s="144">
        <f>PRODUCT(R59:R61)</f>
        <v>81450</v>
      </c>
      <c r="S58" s="143">
        <v>35000</v>
      </c>
      <c r="T58" s="143">
        <v>44000</v>
      </c>
      <c r="U58" s="143">
        <v>53000</v>
      </c>
      <c r="V58" s="143">
        <v>64000</v>
      </c>
      <c r="W58" s="154">
        <f>SUM(S58:V58)</f>
        <v>196000</v>
      </c>
      <c r="X58" s="143">
        <v>61000</v>
      </c>
      <c r="Y58" s="143">
        <v>72000</v>
      </c>
      <c r="Z58" s="143">
        <v>81000</v>
      </c>
      <c r="AA58" s="143">
        <v>91000</v>
      </c>
      <c r="AB58" s="154">
        <f>SUM(X58:AA58)</f>
        <v>305000</v>
      </c>
      <c r="AC58" s="179">
        <v>106000</v>
      </c>
      <c r="AD58" s="179">
        <f>AC58+9000</f>
        <v>115000</v>
      </c>
      <c r="AE58" s="201">
        <f>AD58+9000</f>
        <v>124000</v>
      </c>
      <c r="AF58" s="201">
        <f>AE58+9000</f>
        <v>133000</v>
      </c>
      <c r="AG58" s="154">
        <f>SUM(AC58:AF58)</f>
        <v>478000</v>
      </c>
      <c r="AH58" s="51">
        <f>AF58+9000</f>
        <v>142000</v>
      </c>
      <c r="AI58" s="51">
        <f>AH58+9000</f>
        <v>151000</v>
      </c>
      <c r="AJ58" s="51">
        <f>AH58+9000</f>
        <v>151000</v>
      </c>
      <c r="AK58" s="51">
        <f>AJ58+9000</f>
        <v>160000</v>
      </c>
      <c r="AL58" s="155">
        <f>PRODUCT(AL59:AL61)</f>
        <v>651600</v>
      </c>
      <c r="AM58" s="153"/>
      <c r="AN58" s="51"/>
      <c r="AO58" s="51"/>
      <c r="AP58" s="51"/>
      <c r="AQ58" s="51"/>
      <c r="AR58" s="51"/>
      <c r="AS58" s="51"/>
      <c r="AT58" s="51"/>
      <c r="AU58" s="51"/>
    </row>
    <row r="59" spans="2:52" x14ac:dyDescent="0.35">
      <c r="B59" s="142" t="s">
        <v>184</v>
      </c>
      <c r="C59" s="51"/>
      <c r="D59" s="415"/>
      <c r="E59" s="416"/>
      <c r="F59" s="416"/>
      <c r="G59" s="416"/>
      <c r="H59" s="417"/>
      <c r="I59" s="416"/>
      <c r="J59" s="416"/>
      <c r="K59" s="416"/>
      <c r="L59" s="416"/>
      <c r="M59" s="355">
        <v>18100000</v>
      </c>
      <c r="N59" s="414"/>
      <c r="O59" s="414"/>
      <c r="P59" s="414"/>
      <c r="Q59" s="414"/>
      <c r="R59" s="154">
        <v>18100000</v>
      </c>
      <c r="S59" s="51"/>
      <c r="T59" s="51"/>
      <c r="U59" s="51"/>
      <c r="V59" s="51"/>
      <c r="W59" s="154">
        <f>R59</f>
        <v>18100000</v>
      </c>
      <c r="X59" s="153"/>
      <c r="Y59" s="153"/>
      <c r="Z59" s="153"/>
      <c r="AA59" s="153"/>
      <c r="AB59" s="154">
        <f>W59</f>
        <v>18100000</v>
      </c>
      <c r="AC59" s="153"/>
      <c r="AD59" s="153"/>
      <c r="AE59" s="153"/>
      <c r="AF59" s="153"/>
      <c r="AG59" s="154">
        <f>AB59</f>
        <v>18100000</v>
      </c>
      <c r="AH59" s="153"/>
      <c r="AI59" s="153"/>
      <c r="AJ59" s="153"/>
      <c r="AK59" s="153"/>
      <c r="AL59" s="155">
        <v>18100000</v>
      </c>
      <c r="AM59" s="153"/>
      <c r="AN59" s="51"/>
      <c r="AO59" s="51"/>
      <c r="AP59" s="51"/>
      <c r="AQ59" s="51"/>
      <c r="AR59" s="51"/>
      <c r="AS59" s="51"/>
      <c r="AT59" s="51"/>
      <c r="AW59" s="40"/>
    </row>
    <row r="60" spans="2:52" x14ac:dyDescent="0.35">
      <c r="B60" s="142" t="s">
        <v>242</v>
      </c>
      <c r="C60" s="51"/>
      <c r="D60" s="415"/>
      <c r="E60" s="416"/>
      <c r="F60" s="416"/>
      <c r="G60" s="416"/>
      <c r="H60" s="417"/>
      <c r="I60" s="416"/>
      <c r="J60" s="416"/>
      <c r="K60" s="416"/>
      <c r="L60" s="416"/>
      <c r="M60" s="311">
        <v>0</v>
      </c>
      <c r="N60" s="414"/>
      <c r="O60" s="414"/>
      <c r="P60" s="414"/>
      <c r="Q60" s="414"/>
      <c r="R60" s="312">
        <v>5.0000000000000001E-3</v>
      </c>
      <c r="S60" s="51"/>
      <c r="T60" s="51"/>
      <c r="U60" s="51"/>
      <c r="V60" s="51"/>
      <c r="W60" s="338">
        <f>W58/W61/W59</f>
        <v>1.2739681507962302E-2</v>
      </c>
      <c r="X60" s="156"/>
      <c r="Y60" s="156"/>
      <c r="Z60" s="156"/>
      <c r="AA60" s="156"/>
      <c r="AB60" s="340">
        <f>AB58/AB61/AB59</f>
        <v>2.1063535911602212E-2</v>
      </c>
      <c r="AC60" s="51"/>
      <c r="AD60" s="51"/>
      <c r="AE60" s="51"/>
      <c r="AF60" s="51"/>
      <c r="AG60" s="282">
        <f>AG58/AG61/AG59</f>
        <v>3.3011049723756909E-2</v>
      </c>
      <c r="AH60" s="156"/>
      <c r="AI60" s="156"/>
      <c r="AJ60" s="156"/>
      <c r="AK60" s="156"/>
      <c r="AL60" s="339">
        <v>4.4999999999999998E-2</v>
      </c>
      <c r="AM60" s="382"/>
      <c r="AN60" s="51"/>
      <c r="AO60" s="51"/>
      <c r="AP60" s="51"/>
      <c r="AQ60" s="51"/>
      <c r="AR60" s="51"/>
      <c r="AS60" s="51"/>
      <c r="AT60" s="51" t="s">
        <v>36</v>
      </c>
      <c r="AU60" s="352" t="s">
        <v>247</v>
      </c>
    </row>
    <row r="61" spans="2:52" x14ac:dyDescent="0.35">
      <c r="B61" s="142" t="s">
        <v>238</v>
      </c>
      <c r="C61" s="51"/>
      <c r="D61" s="415"/>
      <c r="E61" s="416"/>
      <c r="F61" s="416"/>
      <c r="G61" s="416"/>
      <c r="H61" s="417"/>
      <c r="I61" s="416"/>
      <c r="J61" s="416"/>
      <c r="K61" s="416"/>
      <c r="L61" s="416"/>
      <c r="M61" s="311">
        <v>1</v>
      </c>
      <c r="N61" s="414"/>
      <c r="O61" s="414"/>
      <c r="P61" s="414"/>
      <c r="Q61" s="414"/>
      <c r="R61" s="312">
        <v>0.9</v>
      </c>
      <c r="S61" s="51"/>
      <c r="T61" s="51"/>
      <c r="U61" s="51"/>
      <c r="V61" s="51"/>
      <c r="W61" s="338">
        <v>0.85</v>
      </c>
      <c r="X61" s="337">
        <f>W61</f>
        <v>0.85</v>
      </c>
      <c r="Y61" s="337">
        <f>X61</f>
        <v>0.85</v>
      </c>
      <c r="Z61" s="337">
        <f>Y61</f>
        <v>0.85</v>
      </c>
      <c r="AA61" s="337">
        <f>Z61</f>
        <v>0.85</v>
      </c>
      <c r="AB61" s="338">
        <v>0.8</v>
      </c>
      <c r="AC61" s="156">
        <f t="shared" ref="AC61:AF62" si="328">AB61</f>
        <v>0.8</v>
      </c>
      <c r="AD61" s="156">
        <f t="shared" si="328"/>
        <v>0.8</v>
      </c>
      <c r="AE61" s="156">
        <f t="shared" si="328"/>
        <v>0.8</v>
      </c>
      <c r="AF61" s="156">
        <f t="shared" si="328"/>
        <v>0.8</v>
      </c>
      <c r="AG61" s="338">
        <v>0.8</v>
      </c>
      <c r="AH61" s="51"/>
      <c r="AI61" s="51"/>
      <c r="AJ61" s="51"/>
      <c r="AK61" s="51"/>
      <c r="AL61" s="182">
        <f>AG61</f>
        <v>0.8</v>
      </c>
      <c r="AM61" s="255"/>
      <c r="AN61" s="51"/>
      <c r="AO61" s="51"/>
      <c r="AP61" s="51"/>
      <c r="AQ61" s="51"/>
      <c r="AR61" s="51"/>
      <c r="AS61" s="51"/>
      <c r="AT61" s="51" t="s">
        <v>36</v>
      </c>
      <c r="AU61" s="90" t="s">
        <v>256</v>
      </c>
    </row>
    <row r="62" spans="2:52" s="215" customFormat="1" x14ac:dyDescent="0.35">
      <c r="B62" s="142" t="s">
        <v>115</v>
      </c>
      <c r="C62" s="213"/>
      <c r="D62" s="415"/>
      <c r="E62" s="416"/>
      <c r="F62" s="416"/>
      <c r="G62" s="416"/>
      <c r="H62" s="417"/>
      <c r="I62" s="416"/>
      <c r="J62" s="416"/>
      <c r="K62" s="416"/>
      <c r="L62" s="416"/>
      <c r="M62" s="341">
        <v>500</v>
      </c>
      <c r="N62" s="414"/>
      <c r="O62" s="414"/>
      <c r="P62" s="414"/>
      <c r="Q62" s="414"/>
      <c r="R62" s="214">
        <v>525</v>
      </c>
      <c r="S62" s="213">
        <v>600</v>
      </c>
      <c r="T62" s="213">
        <v>720</v>
      </c>
      <c r="U62" s="213">
        <v>750</v>
      </c>
      <c r="V62" s="213">
        <v>750</v>
      </c>
      <c r="W62" s="214">
        <f>V62</f>
        <v>750</v>
      </c>
      <c r="X62" s="334">
        <v>800</v>
      </c>
      <c r="Y62" s="334">
        <v>855</v>
      </c>
      <c r="Z62" s="334">
        <v>900</v>
      </c>
      <c r="AA62" s="334">
        <v>1000</v>
      </c>
      <c r="AB62" s="214">
        <f>AA62</f>
        <v>1000</v>
      </c>
      <c r="AC62" s="213">
        <f t="shared" si="328"/>
        <v>1000</v>
      </c>
      <c r="AD62" s="213">
        <f t="shared" si="328"/>
        <v>1000</v>
      </c>
      <c r="AE62" s="213">
        <f t="shared" si="328"/>
        <v>1000</v>
      </c>
      <c r="AF62" s="213">
        <f t="shared" si="328"/>
        <v>1000</v>
      </c>
      <c r="AG62" s="341">
        <f>AB62*(1+10%)</f>
        <v>1100</v>
      </c>
      <c r="AH62" s="213">
        <f>AG62</f>
        <v>1100</v>
      </c>
      <c r="AI62" s="213">
        <f>AH62</f>
        <v>1100</v>
      </c>
      <c r="AJ62" s="213">
        <f>AI62</f>
        <v>1100</v>
      </c>
      <c r="AK62" s="213">
        <f>AJ62</f>
        <v>1100</v>
      </c>
      <c r="AL62" s="342">
        <f>AG62*(1+10%)</f>
        <v>1210</v>
      </c>
      <c r="AM62" s="334"/>
      <c r="AN62" s="213"/>
      <c r="AO62" s="213"/>
      <c r="AP62" s="213"/>
      <c r="AQ62" s="213"/>
      <c r="AR62" s="213"/>
      <c r="AS62" s="213"/>
      <c r="AT62" s="213" t="s">
        <v>36</v>
      </c>
      <c r="AU62" s="384" t="s">
        <v>252</v>
      </c>
    </row>
    <row r="63" spans="2:52" s="19" customFormat="1" ht="13.9" x14ac:dyDescent="0.4">
      <c r="B63" s="176" t="s">
        <v>111</v>
      </c>
      <c r="C63" s="52"/>
      <c r="D63" s="415"/>
      <c r="E63" s="416"/>
      <c r="F63" s="416"/>
      <c r="G63" s="416"/>
      <c r="H63" s="417"/>
      <c r="I63" s="416"/>
      <c r="J63" s="416"/>
      <c r="K63" s="416"/>
      <c r="L63" s="416"/>
      <c r="M63" s="335">
        <f>M58*M62/10^6</f>
        <v>9</v>
      </c>
      <c r="N63" s="414"/>
      <c r="O63" s="414"/>
      <c r="P63" s="414"/>
      <c r="Q63" s="414"/>
      <c r="R63" s="335">
        <f>R62*R58/10^6</f>
        <v>42.761249999999997</v>
      </c>
      <c r="S63" s="336">
        <f>S62*S58/10^6</f>
        <v>21</v>
      </c>
      <c r="T63" s="336">
        <f t="shared" ref="T63:V63" si="329">T62*T58/10^6</f>
        <v>31.68</v>
      </c>
      <c r="U63" s="336">
        <f t="shared" si="329"/>
        <v>39.75</v>
      </c>
      <c r="V63" s="336">
        <f t="shared" si="329"/>
        <v>48</v>
      </c>
      <c r="W63" s="335">
        <f>W58*W62/10^6</f>
        <v>147</v>
      </c>
      <c r="X63" s="52">
        <f t="shared" ref="X63:AA63" si="330">X62*X58/10^6</f>
        <v>48.8</v>
      </c>
      <c r="Y63" s="52">
        <f t="shared" si="330"/>
        <v>61.56</v>
      </c>
      <c r="Z63" s="52">
        <f t="shared" si="330"/>
        <v>72.900000000000006</v>
      </c>
      <c r="AA63" s="52">
        <f t="shared" si="330"/>
        <v>91</v>
      </c>
      <c r="AB63" s="74">
        <f>AB62*AB58/10^6</f>
        <v>305</v>
      </c>
      <c r="AC63" s="52"/>
      <c r="AD63" s="52"/>
      <c r="AE63" s="52"/>
      <c r="AF63" s="52"/>
      <c r="AG63" s="74">
        <f>AG58*AG62/10^6</f>
        <v>525.79999999999995</v>
      </c>
      <c r="AH63" s="52"/>
      <c r="AI63" s="52"/>
      <c r="AJ63" s="52"/>
      <c r="AK63" s="52"/>
      <c r="AL63" s="141">
        <f>AL62*AL58/10^6</f>
        <v>788.43600000000004</v>
      </c>
      <c r="AM63" s="73"/>
      <c r="AN63" s="52"/>
      <c r="AO63" s="52"/>
      <c r="AP63" s="52"/>
      <c r="AQ63" s="52"/>
      <c r="AR63" s="52"/>
      <c r="AS63" s="52"/>
      <c r="AT63" s="52"/>
      <c r="AU63" s="93"/>
    </row>
    <row r="64" spans="2:52" x14ac:dyDescent="0.35">
      <c r="B64" s="118"/>
      <c r="C64" s="51"/>
      <c r="D64" s="118"/>
      <c r="E64" s="51"/>
      <c r="F64" s="51"/>
      <c r="G64" s="51"/>
      <c r="H64" s="75"/>
      <c r="I64" s="51"/>
      <c r="J64" s="51"/>
      <c r="K64" s="51"/>
      <c r="L64" s="51"/>
      <c r="M64" s="75"/>
      <c r="N64" s="51"/>
      <c r="O64" s="51"/>
      <c r="P64" s="51"/>
      <c r="Q64" s="51"/>
      <c r="R64" s="75"/>
      <c r="S64" s="51"/>
      <c r="T64" s="51"/>
      <c r="U64" s="51"/>
      <c r="V64" s="51"/>
      <c r="W64" s="75"/>
      <c r="X64" s="51"/>
      <c r="Y64" s="51"/>
      <c r="Z64" s="51"/>
      <c r="AA64" s="51"/>
      <c r="AB64" s="75"/>
      <c r="AC64" s="51"/>
      <c r="AD64" s="51"/>
      <c r="AE64" s="51"/>
      <c r="AF64" s="51"/>
      <c r="AG64" s="75"/>
      <c r="AH64" s="51"/>
      <c r="AI64" s="51"/>
      <c r="AJ64" s="51"/>
      <c r="AK64" s="51"/>
      <c r="AL64" s="121"/>
      <c r="AM64" s="51"/>
      <c r="AN64" s="51"/>
      <c r="AO64" s="51"/>
      <c r="AP64" s="51"/>
      <c r="AQ64" s="51"/>
      <c r="AR64" s="51"/>
      <c r="AS64" s="51"/>
      <c r="AT64" s="51"/>
      <c r="AU64" s="51"/>
      <c r="AW64" s="314"/>
    </row>
    <row r="65" spans="1:47" x14ac:dyDescent="0.35">
      <c r="B65" s="177" t="s">
        <v>141</v>
      </c>
      <c r="C65" s="51"/>
      <c r="D65" s="118"/>
      <c r="E65" s="51"/>
      <c r="F65" s="51"/>
      <c r="G65" s="51"/>
      <c r="H65" s="75"/>
      <c r="I65" s="51"/>
      <c r="J65" s="51"/>
      <c r="K65" s="51"/>
      <c r="L65" s="51"/>
      <c r="M65" s="75"/>
      <c r="N65" s="51"/>
      <c r="O65" s="51"/>
      <c r="P65" s="51"/>
      <c r="Q65" s="51"/>
      <c r="R65" s="75"/>
      <c r="S65" s="51"/>
      <c r="T65" s="51"/>
      <c r="U65" s="51"/>
      <c r="V65" s="51"/>
      <c r="W65" s="75"/>
      <c r="X65" s="51"/>
      <c r="Y65" s="51"/>
      <c r="Z65" s="51"/>
      <c r="AA65" s="51"/>
      <c r="AB65" s="75"/>
      <c r="AC65" s="51"/>
      <c r="AD65" s="51"/>
      <c r="AE65" s="51"/>
      <c r="AF65" s="51"/>
      <c r="AG65" s="75"/>
      <c r="AH65" s="51"/>
      <c r="AI65" s="51"/>
      <c r="AJ65" s="51"/>
      <c r="AK65" s="51"/>
      <c r="AL65" s="121"/>
      <c r="AM65" s="51"/>
      <c r="AN65" s="51"/>
      <c r="AO65" s="51"/>
      <c r="AP65" s="51"/>
      <c r="AQ65" s="51"/>
      <c r="AR65" s="51"/>
      <c r="AS65" s="51"/>
      <c r="AT65" s="51"/>
      <c r="AU65" s="188"/>
    </row>
    <row r="66" spans="1:47" x14ac:dyDescent="0.35">
      <c r="B66" s="343" t="s">
        <v>136</v>
      </c>
      <c r="C66" s="368"/>
      <c r="D66" s="344">
        <f>D5-D54-D47</f>
        <v>3.3689999999999927</v>
      </c>
      <c r="E66" s="345">
        <f>E5-E54-E47</f>
        <v>4.3460000000000036</v>
      </c>
      <c r="F66" s="345">
        <f>F5-F54-F47</f>
        <v>3.1839999999999975</v>
      </c>
      <c r="G66" s="345">
        <f>G5-G54-G47</f>
        <v>13.000999999999969</v>
      </c>
      <c r="H66" s="346">
        <f>H5-H47-H54</f>
        <v>23.899999999999963</v>
      </c>
      <c r="I66" s="345">
        <f>I5-I54-I47</f>
        <v>12.052250000000001</v>
      </c>
      <c r="J66" s="345">
        <f>J5-J54-J47</f>
        <v>1.6779599999999988</v>
      </c>
      <c r="K66" s="345">
        <f>K5-K54-K47</f>
        <v>15.118099999999984</v>
      </c>
      <c r="L66" s="345">
        <f>L5-L54-L47</f>
        <v>32.253</v>
      </c>
      <c r="M66" s="346">
        <f>M5-M47-M54-M63</f>
        <v>35.471999999999952</v>
      </c>
      <c r="N66" s="345">
        <f>N5-N54-N47-N63</f>
        <v>26.398962500000003</v>
      </c>
      <c r="O66" s="345">
        <f>O5-O54-O47-O63</f>
        <v>34.730913999999991</v>
      </c>
      <c r="P66" s="345">
        <f>P5-P54-P47-P63</f>
        <v>52.453146999999987</v>
      </c>
      <c r="Q66" s="345">
        <f>Q5-Q54-Q47-Q63</f>
        <v>71.490250000000003</v>
      </c>
      <c r="R66" s="346">
        <f>R5-R47-R54-R63</f>
        <v>82.214549999999917</v>
      </c>
      <c r="S66" s="345">
        <f>S9-S54-S47</f>
        <v>86.642478000000011</v>
      </c>
      <c r="T66" s="345">
        <f>T9-T54-T47</f>
        <v>72.253027679999974</v>
      </c>
      <c r="U66" s="345">
        <f>U9-U54-U47</f>
        <v>96.609200399999992</v>
      </c>
      <c r="V66" s="345">
        <f>V9-V54-V47</f>
        <v>113.69017350000007</v>
      </c>
      <c r="W66" s="346">
        <f>W5-W47-W54-W63</f>
        <v>128.78571999999997</v>
      </c>
      <c r="X66" s="345">
        <f>X9-X54-X47-X63</f>
        <v>73.37556979999998</v>
      </c>
      <c r="Y66" s="345">
        <f>Y9-Y54-Y47-Y63</f>
        <v>57.479184868499985</v>
      </c>
      <c r="Z66" s="345">
        <f>Z9-Z54-Z47-Z63</f>
        <v>67.811762372000004</v>
      </c>
      <c r="AA66" s="345">
        <f>AA9-AA54-AA47-AA63</f>
        <v>107.47658313999992</v>
      </c>
      <c r="AB66" s="346">
        <f>AB5-AB47-AB54-AB63</f>
        <v>174.22207199999997</v>
      </c>
      <c r="AC66" s="345"/>
      <c r="AD66" s="345"/>
      <c r="AE66" s="345"/>
      <c r="AF66" s="345"/>
      <c r="AG66" s="346">
        <f>AB66*(1+30%)</f>
        <v>226.48869359999998</v>
      </c>
      <c r="AH66" s="345"/>
      <c r="AI66" s="345"/>
      <c r="AJ66" s="345"/>
      <c r="AK66" s="345"/>
      <c r="AL66" s="347">
        <f>AG66*(1+30%)</f>
        <v>294.43530167999995</v>
      </c>
      <c r="AM66" s="73"/>
      <c r="AN66" s="51"/>
      <c r="AO66" s="51"/>
      <c r="AP66" s="51"/>
      <c r="AQ66" s="51"/>
      <c r="AR66" s="51"/>
      <c r="AS66" s="51"/>
      <c r="AT66" s="51"/>
      <c r="AU66" s="51"/>
    </row>
    <row r="67" spans="1:47" x14ac:dyDescent="0.35">
      <c r="B67" s="71" t="s">
        <v>139</v>
      </c>
      <c r="C67" s="51"/>
      <c r="D67" s="115"/>
      <c r="E67" s="51"/>
      <c r="F67" s="51"/>
      <c r="G67" s="51"/>
      <c r="H67" s="115"/>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row>
    <row r="68" spans="1:47" x14ac:dyDescent="0.35">
      <c r="B68" s="7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351" t="s">
        <v>245</v>
      </c>
      <c r="AH68" s="51"/>
      <c r="AI68" s="51"/>
      <c r="AJ68" s="51"/>
      <c r="AK68" s="51"/>
      <c r="AL68" s="351" t="s">
        <v>246</v>
      </c>
      <c r="AM68" s="351"/>
      <c r="AN68" s="51"/>
      <c r="AO68" s="51"/>
      <c r="AP68" s="51"/>
      <c r="AQ68" s="51"/>
      <c r="AR68" s="51"/>
      <c r="AS68" s="51"/>
      <c r="AT68" s="51"/>
      <c r="AU68" s="51"/>
    </row>
    <row r="69" spans="1:47" x14ac:dyDescent="0.35">
      <c r="A69" s="14" t="s">
        <v>36</v>
      </c>
      <c r="B69" s="71" t="s">
        <v>244</v>
      </c>
      <c r="C69" s="51"/>
      <c r="D69" s="51"/>
      <c r="E69" s="51"/>
      <c r="F69" s="51"/>
      <c r="G69" s="51"/>
      <c r="H69" s="363">
        <f>H47+H54+H66</f>
        <v>269.89999999999998</v>
      </c>
      <c r="I69" s="184"/>
      <c r="J69" s="184"/>
      <c r="K69" s="184"/>
      <c r="L69" s="184"/>
      <c r="M69" s="350">
        <f>M66+M63+M54+M47</f>
        <v>367.2</v>
      </c>
      <c r="N69" s="184"/>
      <c r="O69" s="184"/>
      <c r="P69" s="184"/>
      <c r="Q69" s="184"/>
      <c r="R69" s="350">
        <f>R66+R63+R54+R47</f>
        <v>567.149</v>
      </c>
      <c r="S69" s="184"/>
      <c r="T69" s="184"/>
      <c r="U69" s="184"/>
      <c r="V69" s="184"/>
      <c r="W69" s="350">
        <f>W66+W63+W54+W47</f>
        <v>797.30700000000002</v>
      </c>
      <c r="X69" s="184"/>
      <c r="Y69" s="184"/>
      <c r="Z69" s="184"/>
      <c r="AA69" s="184"/>
      <c r="AB69" s="350">
        <f>AB66+AB63+AB54+AB47</f>
        <v>1068.5219999999999</v>
      </c>
      <c r="AC69" s="365"/>
      <c r="AD69" s="365"/>
      <c r="AE69" s="365"/>
      <c r="AF69" s="365"/>
      <c r="AG69" s="350">
        <f>AG66+AG63+AG54+AG47</f>
        <v>1447.9541088000001</v>
      </c>
      <c r="AH69" s="365"/>
      <c r="AI69" s="365"/>
      <c r="AJ69" s="365"/>
      <c r="AK69" s="365"/>
      <c r="AL69" s="349">
        <f>AL66+AL63+AL54+AL47</f>
        <v>1830.5716657200001</v>
      </c>
      <c r="AM69" s="89"/>
      <c r="AN69" s="51"/>
      <c r="AO69" s="51"/>
      <c r="AP69" s="51"/>
      <c r="AQ69" s="51"/>
      <c r="AR69" s="51"/>
      <c r="AS69" s="51"/>
      <c r="AT69" s="51"/>
      <c r="AU69" s="51"/>
    </row>
    <row r="70" spans="1:47" x14ac:dyDescent="0.35">
      <c r="A70" s="14" t="s">
        <v>36</v>
      </c>
      <c r="B70" s="88" t="s">
        <v>243</v>
      </c>
      <c r="C70" s="90"/>
      <c r="D70" s="90"/>
      <c r="E70" s="90"/>
      <c r="F70" s="90"/>
      <c r="G70" s="90"/>
      <c r="H70" s="364">
        <f>H69/H18-1</f>
        <v>0</v>
      </c>
      <c r="I70" s="348"/>
      <c r="J70" s="90"/>
      <c r="K70" s="90"/>
      <c r="L70" s="90"/>
      <c r="M70" s="353">
        <f>M69/M18-1</f>
        <v>0</v>
      </c>
      <c r="N70" s="90"/>
      <c r="O70" s="90"/>
      <c r="P70" s="90"/>
      <c r="Q70" s="90"/>
      <c r="R70" s="353">
        <f>R69/R18-1</f>
        <v>0</v>
      </c>
      <c r="S70" s="90"/>
      <c r="T70" s="90"/>
      <c r="U70" s="90"/>
      <c r="V70" s="90"/>
      <c r="W70" s="353">
        <f>W69/W18-1</f>
        <v>0</v>
      </c>
      <c r="X70" s="90"/>
      <c r="Y70" s="90"/>
      <c r="Z70" s="90"/>
      <c r="AA70" s="90"/>
      <c r="AB70" s="353">
        <f>AB69/AB18-1</f>
        <v>0</v>
      </c>
      <c r="AC70" s="90"/>
      <c r="AD70" s="90"/>
      <c r="AE70" s="90"/>
      <c r="AF70" s="90"/>
      <c r="AG70" s="353">
        <f>AG69/AG18-1</f>
        <v>-6.5940040545846568E-3</v>
      </c>
      <c r="AH70" s="90"/>
      <c r="AI70" s="90"/>
      <c r="AJ70" s="90"/>
      <c r="AK70" s="90"/>
      <c r="AL70" s="354">
        <f>AL69/AL18-1</f>
        <v>4.7185043069544186E-3</v>
      </c>
      <c r="AM70" s="383"/>
      <c r="AN70" s="51"/>
      <c r="AO70" s="51"/>
      <c r="AP70" s="51"/>
      <c r="AQ70" s="51"/>
      <c r="AR70" s="51"/>
      <c r="AS70" s="51"/>
      <c r="AT70" s="51"/>
      <c r="AU70" s="51"/>
    </row>
    <row r="71" spans="1:47" x14ac:dyDescent="0.35">
      <c r="B71" s="71"/>
      <c r="C71" s="51"/>
      <c r="D71" s="51"/>
      <c r="E71" s="51"/>
      <c r="F71" s="51"/>
      <c r="G71" s="51"/>
      <c r="H71" s="361"/>
      <c r="I71" s="143"/>
      <c r="J71" s="51"/>
      <c r="K71" s="51"/>
      <c r="L71" s="51"/>
      <c r="M71" s="51"/>
      <c r="N71" s="51"/>
      <c r="O71" s="51"/>
      <c r="P71" s="51"/>
      <c r="Q71" s="51"/>
      <c r="R71" s="51"/>
      <c r="S71" s="51"/>
      <c r="T71" s="51"/>
      <c r="U71" s="51"/>
      <c r="V71" s="51"/>
      <c r="W71" s="51"/>
      <c r="X71" s="51"/>
      <c r="Y71" s="51"/>
      <c r="Z71" s="51"/>
      <c r="AA71" s="51"/>
      <c r="AB71" s="51"/>
      <c r="AC71" s="51"/>
      <c r="AD71" s="51"/>
      <c r="AE71" s="51"/>
      <c r="AF71" s="51"/>
      <c r="AG71" s="73"/>
      <c r="AH71" s="51"/>
      <c r="AI71" s="51"/>
      <c r="AJ71" s="51"/>
      <c r="AK71" s="51"/>
      <c r="AL71" s="51"/>
      <c r="AM71" s="51"/>
      <c r="AN71" s="51"/>
      <c r="AO71" s="51"/>
      <c r="AP71" s="51"/>
      <c r="AQ71" s="51"/>
      <c r="AR71" s="51"/>
      <c r="AS71" s="51"/>
      <c r="AT71" s="51"/>
      <c r="AU71" s="51"/>
    </row>
    <row r="72" spans="1:47" x14ac:dyDescent="0.35">
      <c r="B72" s="71"/>
      <c r="C72" s="51"/>
      <c r="D72" s="51"/>
      <c r="E72" s="51"/>
      <c r="F72" s="51"/>
      <c r="G72" s="51"/>
      <c r="H72" s="188"/>
      <c r="I72" s="143"/>
      <c r="J72" s="51"/>
      <c r="K72" s="51"/>
      <c r="L72" s="51"/>
      <c r="M72" s="51"/>
      <c r="N72" s="51"/>
      <c r="O72" s="51"/>
      <c r="P72" s="51"/>
      <c r="Q72" s="51"/>
      <c r="R72" s="51"/>
      <c r="S72" s="51"/>
      <c r="T72" s="51"/>
      <c r="U72" s="51"/>
      <c r="V72" s="51"/>
      <c r="W72" s="51"/>
      <c r="X72" s="51"/>
      <c r="Y72" s="51"/>
      <c r="Z72" s="51"/>
      <c r="AA72" s="51"/>
      <c r="AB72" s="51"/>
      <c r="AC72" s="51"/>
      <c r="AD72" s="51"/>
      <c r="AE72" s="51"/>
      <c r="AF72" s="51"/>
      <c r="AG72" s="73"/>
      <c r="AH72" s="51"/>
      <c r="AI72" s="51"/>
      <c r="AJ72" s="51"/>
      <c r="AK72" s="51"/>
      <c r="AL72" s="51"/>
      <c r="AM72" s="51"/>
      <c r="AN72" s="51"/>
      <c r="AO72" s="51"/>
      <c r="AP72" s="51"/>
      <c r="AQ72" s="51"/>
      <c r="AR72" s="51"/>
      <c r="AS72" s="51"/>
      <c r="AT72" s="51"/>
      <c r="AU72" s="51"/>
    </row>
    <row r="73" spans="1:47" x14ac:dyDescent="0.35">
      <c r="A73" s="52" t="s">
        <v>36</v>
      </c>
      <c r="B73" s="52" t="s">
        <v>79</v>
      </c>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197"/>
      <c r="AH73" s="51"/>
      <c r="AI73" s="51"/>
      <c r="AJ73" s="51"/>
      <c r="AK73" s="51"/>
      <c r="AL73" s="51"/>
      <c r="AM73" s="51"/>
      <c r="AN73" s="51"/>
      <c r="AO73" s="51"/>
      <c r="AP73" s="51"/>
      <c r="AQ73" s="51"/>
      <c r="AR73" s="51"/>
      <c r="AS73" s="51"/>
      <c r="AT73" s="51"/>
      <c r="AU73" s="51"/>
    </row>
    <row r="74" spans="1:47" x14ac:dyDescent="0.35">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row>
    <row r="75" spans="1:47" x14ac:dyDescent="0.35">
      <c r="B75" s="51"/>
      <c r="C75" s="51"/>
      <c r="D75" s="118"/>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row>
    <row r="76" spans="1:47" x14ac:dyDescent="0.35">
      <c r="B76" s="51"/>
      <c r="C76" s="51"/>
      <c r="D76" s="118"/>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row>
    <row r="77" spans="1:47" x14ac:dyDescent="0.35">
      <c r="B77" s="51"/>
      <c r="C77" s="51"/>
      <c r="D77" s="118"/>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row>
    <row r="78" spans="1:47" x14ac:dyDescent="0.35">
      <c r="B78" s="51"/>
      <c r="C78" s="51"/>
      <c r="D78" s="118"/>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row>
    <row r="79" spans="1:47" x14ac:dyDescent="0.35">
      <c r="B79" s="51"/>
      <c r="C79" s="51"/>
      <c r="D79" s="118"/>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row>
    <row r="80" spans="1:47" x14ac:dyDescent="0.35">
      <c r="B80" s="51"/>
      <c r="C80" s="51"/>
      <c r="D80" s="118"/>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row>
    <row r="81" spans="2:47" x14ac:dyDescent="0.35">
      <c r="B81" s="51"/>
      <c r="C81" s="51"/>
      <c r="D81" s="118"/>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row>
    <row r="82" spans="2:47" x14ac:dyDescent="0.35">
      <c r="B82" s="51"/>
      <c r="C82" s="51"/>
      <c r="D82" s="118"/>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row>
    <row r="83" spans="2:47" x14ac:dyDescent="0.35">
      <c r="B83" s="51"/>
      <c r="C83" s="51"/>
      <c r="D83" s="118"/>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row>
    <row r="84" spans="2:47" x14ac:dyDescent="0.35">
      <c r="B84" s="51"/>
      <c r="C84" s="51"/>
      <c r="D84" s="118"/>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row>
    <row r="85" spans="2:47" x14ac:dyDescent="0.35">
      <c r="B85" s="51"/>
      <c r="C85" s="51"/>
      <c r="D85" s="118"/>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row>
    <row r="86" spans="2:47" x14ac:dyDescent="0.35">
      <c r="B86" s="51"/>
      <c r="C86" s="51"/>
      <c r="D86" s="118"/>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row>
    <row r="87" spans="2:47" x14ac:dyDescent="0.35">
      <c r="B87" s="51"/>
      <c r="C87" s="51"/>
      <c r="D87" s="118"/>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row>
    <row r="88" spans="2:47" x14ac:dyDescent="0.35">
      <c r="B88" s="51"/>
      <c r="C88" s="51"/>
      <c r="D88" s="118"/>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row>
    <row r="89" spans="2:47" x14ac:dyDescent="0.35">
      <c r="B89" s="51"/>
      <c r="C89" s="51"/>
      <c r="D89" s="118"/>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row>
    <row r="90" spans="2:47" x14ac:dyDescent="0.35">
      <c r="B90" s="51"/>
      <c r="C90" s="51"/>
      <c r="D90" s="118"/>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row>
    <row r="91" spans="2:47" x14ac:dyDescent="0.35">
      <c r="B91" s="51"/>
      <c r="C91" s="51"/>
      <c r="D91" s="118"/>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row>
    <row r="92" spans="2:47" x14ac:dyDescent="0.35">
      <c r="B92" s="51"/>
      <c r="C92" s="51"/>
      <c r="D92" s="118"/>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row>
    <row r="93" spans="2:47" x14ac:dyDescent="0.35">
      <c r="B93" s="51"/>
      <c r="C93" s="51"/>
      <c r="D93" s="118"/>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row>
    <row r="94" spans="2:47" x14ac:dyDescent="0.35">
      <c r="B94" s="51"/>
      <c r="C94" s="51"/>
      <c r="D94" s="118"/>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row>
    <row r="95" spans="2:47" x14ac:dyDescent="0.35">
      <c r="B95" s="51"/>
      <c r="C95" s="51"/>
      <c r="D95" s="118"/>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row>
    <row r="96" spans="2:47" x14ac:dyDescent="0.35">
      <c r="B96" s="51"/>
      <c r="C96" s="51"/>
      <c r="D96" s="118"/>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1"/>
      <c r="AU96" s="51"/>
    </row>
    <row r="97" spans="2:47" x14ac:dyDescent="0.35">
      <c r="B97" s="51"/>
      <c r="C97" s="51"/>
      <c r="D97" s="118"/>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51"/>
      <c r="AM97" s="51"/>
      <c r="AN97" s="51"/>
      <c r="AO97" s="51"/>
      <c r="AP97" s="51"/>
      <c r="AQ97" s="51"/>
      <c r="AR97" s="51"/>
      <c r="AS97" s="51"/>
      <c r="AT97" s="51"/>
      <c r="AU97" s="51"/>
    </row>
    <row r="98" spans="2:47" x14ac:dyDescent="0.35">
      <c r="B98" s="51"/>
      <c r="C98" s="51"/>
      <c r="D98" s="118"/>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c r="AJ98" s="51"/>
      <c r="AK98" s="51"/>
      <c r="AL98" s="51"/>
      <c r="AM98" s="51"/>
      <c r="AN98" s="51"/>
      <c r="AO98" s="51"/>
      <c r="AP98" s="51"/>
      <c r="AQ98" s="51"/>
      <c r="AR98" s="51"/>
      <c r="AS98" s="51"/>
      <c r="AT98" s="51"/>
      <c r="AU98" s="51"/>
    </row>
    <row r="99" spans="2:47" x14ac:dyDescent="0.35">
      <c r="B99" s="51"/>
      <c r="C99" s="51"/>
      <c r="D99" s="118"/>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c r="AH99" s="51"/>
      <c r="AI99" s="51"/>
      <c r="AJ99" s="51"/>
      <c r="AK99" s="51"/>
      <c r="AL99" s="51"/>
      <c r="AM99" s="51"/>
      <c r="AN99" s="51"/>
      <c r="AO99" s="51"/>
      <c r="AP99" s="51"/>
      <c r="AQ99" s="51"/>
      <c r="AR99" s="51"/>
      <c r="AS99" s="51"/>
      <c r="AT99" s="51"/>
      <c r="AU99" s="51"/>
    </row>
    <row r="100" spans="2:47" x14ac:dyDescent="0.35">
      <c r="B100" s="51"/>
      <c r="C100" s="51"/>
      <c r="D100" s="118"/>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c r="AS100" s="51"/>
      <c r="AT100" s="51"/>
      <c r="AU100" s="51"/>
    </row>
    <row r="101" spans="2:47" x14ac:dyDescent="0.35">
      <c r="B101" s="51"/>
      <c r="C101" s="51"/>
      <c r="D101" s="118"/>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c r="AQ101" s="51"/>
      <c r="AR101" s="51"/>
      <c r="AS101" s="51"/>
      <c r="AT101" s="51"/>
      <c r="AU101" s="51"/>
    </row>
    <row r="102" spans="2:47" x14ac:dyDescent="0.35">
      <c r="B102" s="51"/>
      <c r="C102" s="51"/>
      <c r="D102" s="118"/>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c r="AQ102" s="51"/>
      <c r="AR102" s="51"/>
      <c r="AS102" s="51"/>
      <c r="AT102" s="51"/>
      <c r="AU102" s="51"/>
    </row>
    <row r="103" spans="2:47" x14ac:dyDescent="0.35">
      <c r="B103" s="51"/>
      <c r="C103" s="51"/>
      <c r="D103" s="118"/>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c r="AQ103" s="51"/>
      <c r="AR103" s="51"/>
      <c r="AS103" s="51"/>
      <c r="AT103" s="51"/>
      <c r="AU103" s="51"/>
    </row>
    <row r="104" spans="2:47" x14ac:dyDescent="0.35">
      <c r="B104" s="51"/>
      <c r="C104" s="51"/>
      <c r="D104" s="118"/>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row>
    <row r="105" spans="2:47" x14ac:dyDescent="0.35">
      <c r="B105" s="51"/>
      <c r="C105" s="51"/>
      <c r="D105" s="118"/>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row>
    <row r="106" spans="2:47" x14ac:dyDescent="0.35">
      <c r="B106" s="51"/>
      <c r="C106" s="51"/>
      <c r="D106" s="118"/>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c r="AQ106" s="51"/>
      <c r="AR106" s="51"/>
      <c r="AS106" s="51"/>
      <c r="AT106" s="51"/>
      <c r="AU106" s="51"/>
    </row>
    <row r="107" spans="2:47" x14ac:dyDescent="0.35">
      <c r="B107" s="51"/>
      <c r="C107" s="51"/>
      <c r="D107" s="118"/>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c r="AQ107" s="51"/>
      <c r="AR107" s="51"/>
      <c r="AS107" s="51"/>
      <c r="AT107" s="51"/>
      <c r="AU107" s="51"/>
    </row>
    <row r="108" spans="2:47" x14ac:dyDescent="0.35">
      <c r="B108" s="51"/>
      <c r="C108" s="51"/>
      <c r="D108" s="118"/>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c r="AQ108" s="51"/>
      <c r="AR108" s="51"/>
      <c r="AS108" s="51"/>
      <c r="AT108" s="51"/>
      <c r="AU108" s="51"/>
    </row>
    <row r="109" spans="2:47" x14ac:dyDescent="0.35">
      <c r="B109" s="51"/>
      <c r="C109" s="51"/>
      <c r="D109" s="118"/>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51"/>
      <c r="AL109" s="51"/>
      <c r="AM109" s="51"/>
      <c r="AN109" s="51"/>
      <c r="AO109" s="51"/>
      <c r="AP109" s="51"/>
      <c r="AQ109" s="51"/>
      <c r="AR109" s="51"/>
      <c r="AS109" s="51"/>
      <c r="AT109" s="51"/>
      <c r="AU109" s="51"/>
    </row>
    <row r="110" spans="2:47" x14ac:dyDescent="0.35">
      <c r="B110" s="51"/>
      <c r="C110" s="51"/>
      <c r="D110" s="118"/>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51"/>
      <c r="AO110" s="51"/>
      <c r="AP110" s="51"/>
      <c r="AQ110" s="51"/>
      <c r="AR110" s="51"/>
      <c r="AS110" s="51"/>
      <c r="AT110" s="51"/>
      <c r="AU110" s="51"/>
    </row>
    <row r="111" spans="2:47" x14ac:dyDescent="0.35">
      <c r="B111" s="51"/>
      <c r="C111" s="51"/>
      <c r="D111" s="118"/>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51"/>
      <c r="AL111" s="51"/>
      <c r="AM111" s="51"/>
      <c r="AN111" s="51"/>
      <c r="AO111" s="51"/>
      <c r="AP111" s="51"/>
      <c r="AQ111" s="51"/>
      <c r="AR111" s="51"/>
      <c r="AS111" s="51"/>
      <c r="AT111" s="51"/>
      <c r="AU111" s="51"/>
    </row>
    <row r="112" spans="2:47" x14ac:dyDescent="0.35">
      <c r="B112" s="51"/>
      <c r="C112" s="51"/>
      <c r="D112" s="118"/>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51"/>
      <c r="AK112" s="51"/>
      <c r="AL112" s="51"/>
      <c r="AM112" s="51"/>
      <c r="AN112" s="51"/>
      <c r="AO112" s="51"/>
      <c r="AP112" s="51"/>
      <c r="AQ112" s="51"/>
      <c r="AR112" s="51"/>
      <c r="AS112" s="51"/>
      <c r="AT112" s="51"/>
      <c r="AU112" s="51"/>
    </row>
    <row r="113" spans="2:47" x14ac:dyDescent="0.35">
      <c r="B113" s="51"/>
      <c r="C113" s="51"/>
      <c r="D113" s="118"/>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51"/>
      <c r="AK113" s="51"/>
      <c r="AL113" s="51"/>
      <c r="AM113" s="51"/>
      <c r="AN113" s="51"/>
      <c r="AO113" s="51"/>
      <c r="AP113" s="51"/>
      <c r="AQ113" s="51"/>
      <c r="AR113" s="51"/>
      <c r="AS113" s="51"/>
      <c r="AT113" s="51"/>
      <c r="AU113" s="51"/>
    </row>
    <row r="114" spans="2:47" x14ac:dyDescent="0.35">
      <c r="B114" s="51"/>
      <c r="C114" s="51"/>
      <c r="D114" s="118"/>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c r="AI114" s="51"/>
      <c r="AJ114" s="51"/>
      <c r="AK114" s="51"/>
      <c r="AL114" s="51"/>
      <c r="AM114" s="51"/>
      <c r="AN114" s="51"/>
      <c r="AO114" s="51"/>
      <c r="AP114" s="51"/>
      <c r="AQ114" s="51"/>
      <c r="AR114" s="51"/>
      <c r="AS114" s="51"/>
      <c r="AT114" s="51"/>
      <c r="AU114" s="51"/>
    </row>
    <row r="115" spans="2:47" x14ac:dyDescent="0.35">
      <c r="B115" s="51"/>
      <c r="C115" s="51"/>
      <c r="D115" s="118"/>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c r="AJ115" s="51"/>
      <c r="AK115" s="51"/>
      <c r="AL115" s="51"/>
      <c r="AM115" s="51"/>
      <c r="AN115" s="51"/>
      <c r="AO115" s="51"/>
      <c r="AP115" s="51"/>
      <c r="AQ115" s="51"/>
      <c r="AR115" s="51"/>
      <c r="AS115" s="51"/>
      <c r="AT115" s="51"/>
      <c r="AU115" s="51"/>
    </row>
    <row r="116" spans="2:47" x14ac:dyDescent="0.35">
      <c r="B116" s="51"/>
      <c r="C116" s="51"/>
      <c r="D116" s="118"/>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c r="AJ116" s="51"/>
      <c r="AK116" s="51"/>
      <c r="AL116" s="51"/>
      <c r="AM116" s="51"/>
      <c r="AN116" s="51"/>
      <c r="AO116" s="51"/>
      <c r="AP116" s="51"/>
      <c r="AQ116" s="51"/>
      <c r="AR116" s="51"/>
      <c r="AS116" s="51"/>
      <c r="AT116" s="51"/>
      <c r="AU116" s="51"/>
    </row>
    <row r="117" spans="2:47" x14ac:dyDescent="0.35">
      <c r="B117" s="51"/>
      <c r="C117" s="51"/>
      <c r="D117" s="118"/>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51"/>
      <c r="AM117" s="51"/>
      <c r="AN117" s="51"/>
      <c r="AO117" s="51"/>
      <c r="AP117" s="51"/>
      <c r="AQ117" s="51"/>
      <c r="AR117" s="51"/>
      <c r="AS117" s="51"/>
      <c r="AT117" s="51"/>
      <c r="AU117" s="51"/>
    </row>
    <row r="118" spans="2:47" x14ac:dyDescent="0.35">
      <c r="B118" s="51"/>
      <c r="C118" s="51"/>
      <c r="D118" s="118"/>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51"/>
      <c r="AK118" s="51"/>
      <c r="AL118" s="51"/>
      <c r="AM118" s="51"/>
      <c r="AN118" s="51"/>
      <c r="AO118" s="51"/>
      <c r="AP118" s="51"/>
      <c r="AQ118" s="51"/>
      <c r="AR118" s="51"/>
      <c r="AS118" s="51"/>
      <c r="AT118" s="51"/>
      <c r="AU118" s="51"/>
    </row>
    <row r="119" spans="2:47" x14ac:dyDescent="0.35">
      <c r="B119" s="51"/>
      <c r="C119" s="51"/>
      <c r="D119" s="118"/>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J119" s="51"/>
      <c r="AK119" s="51"/>
      <c r="AL119" s="51"/>
      <c r="AM119" s="51"/>
      <c r="AN119" s="51"/>
      <c r="AO119" s="51"/>
      <c r="AP119" s="51"/>
      <c r="AQ119" s="51"/>
      <c r="AR119" s="51"/>
      <c r="AS119" s="51"/>
      <c r="AT119" s="51"/>
      <c r="AU119" s="51"/>
    </row>
    <row r="120" spans="2:47" x14ac:dyDescent="0.35">
      <c r="B120" s="51"/>
      <c r="C120" s="51"/>
      <c r="D120" s="118"/>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51"/>
      <c r="AK120" s="51"/>
      <c r="AL120" s="51"/>
      <c r="AM120" s="51"/>
      <c r="AN120" s="51"/>
      <c r="AO120" s="51"/>
      <c r="AP120" s="51"/>
      <c r="AQ120" s="51"/>
      <c r="AR120" s="51"/>
      <c r="AS120" s="51"/>
      <c r="AT120" s="51"/>
      <c r="AU120" s="51"/>
    </row>
    <row r="121" spans="2:47" x14ac:dyDescent="0.35">
      <c r="B121" s="51"/>
      <c r="C121" s="51"/>
      <c r="D121" s="118"/>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1"/>
      <c r="AK121" s="51"/>
      <c r="AL121" s="51"/>
      <c r="AM121" s="51"/>
      <c r="AN121" s="51"/>
      <c r="AO121" s="51"/>
      <c r="AP121" s="51"/>
      <c r="AQ121" s="51"/>
      <c r="AR121" s="51"/>
      <c r="AS121" s="51"/>
      <c r="AT121" s="51"/>
      <c r="AU121" s="51"/>
    </row>
    <row r="122" spans="2:47" x14ac:dyDescent="0.35">
      <c r="B122" s="51"/>
      <c r="C122" s="51"/>
      <c r="D122" s="118"/>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c r="AJ122" s="51"/>
      <c r="AK122" s="51"/>
      <c r="AL122" s="51"/>
      <c r="AM122" s="51"/>
      <c r="AN122" s="51"/>
      <c r="AO122" s="51"/>
      <c r="AP122" s="51"/>
      <c r="AQ122" s="51"/>
      <c r="AR122" s="51"/>
      <c r="AS122" s="51"/>
      <c r="AT122" s="51"/>
      <c r="AU122" s="51"/>
    </row>
    <row r="123" spans="2:47" x14ac:dyDescent="0.35">
      <c r="B123" s="51"/>
      <c r="C123" s="51"/>
      <c r="D123" s="118"/>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J123" s="51"/>
      <c r="AK123" s="51"/>
      <c r="AL123" s="51"/>
      <c r="AM123" s="51"/>
      <c r="AN123" s="51"/>
      <c r="AO123" s="51"/>
      <c r="AP123" s="51"/>
      <c r="AQ123" s="51"/>
      <c r="AR123" s="51"/>
      <c r="AS123" s="51"/>
      <c r="AT123" s="51"/>
      <c r="AU123" s="51"/>
    </row>
    <row r="124" spans="2:47" x14ac:dyDescent="0.35">
      <c r="B124" s="51"/>
      <c r="C124" s="51"/>
      <c r="D124" s="118"/>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c r="AI124" s="51"/>
      <c r="AJ124" s="51"/>
      <c r="AK124" s="51"/>
      <c r="AL124" s="51"/>
      <c r="AM124" s="51"/>
      <c r="AN124" s="51"/>
      <c r="AO124" s="51"/>
      <c r="AP124" s="51"/>
      <c r="AQ124" s="51"/>
      <c r="AR124" s="51"/>
      <c r="AS124" s="51"/>
      <c r="AT124" s="51"/>
      <c r="AU124" s="51"/>
    </row>
    <row r="125" spans="2:47" x14ac:dyDescent="0.35">
      <c r="B125" s="51"/>
      <c r="C125" s="51"/>
      <c r="D125" s="118"/>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1"/>
      <c r="AL125" s="51"/>
      <c r="AM125" s="51"/>
      <c r="AN125" s="51"/>
      <c r="AO125" s="51"/>
      <c r="AP125" s="51"/>
      <c r="AQ125" s="51"/>
      <c r="AR125" s="51"/>
      <c r="AS125" s="51"/>
      <c r="AT125" s="51"/>
      <c r="AU125" s="51"/>
    </row>
    <row r="126" spans="2:47" x14ac:dyDescent="0.35">
      <c r="B126" s="51"/>
      <c r="C126" s="51"/>
      <c r="D126" s="118"/>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c r="AK126" s="51"/>
      <c r="AL126" s="51"/>
      <c r="AM126" s="51"/>
      <c r="AN126" s="51"/>
      <c r="AO126" s="51"/>
      <c r="AP126" s="51"/>
      <c r="AQ126" s="51"/>
      <c r="AR126" s="51"/>
      <c r="AS126" s="51"/>
      <c r="AT126" s="51"/>
      <c r="AU126" s="51"/>
    </row>
    <row r="127" spans="2:47" x14ac:dyDescent="0.35">
      <c r="B127" s="51"/>
      <c r="C127" s="51"/>
      <c r="D127" s="118"/>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c r="AM127" s="51"/>
      <c r="AN127" s="51"/>
      <c r="AO127" s="51"/>
      <c r="AP127" s="51"/>
      <c r="AQ127" s="51"/>
      <c r="AR127" s="51"/>
      <c r="AS127" s="51"/>
      <c r="AT127" s="51"/>
      <c r="AU127" s="51"/>
    </row>
    <row r="128" spans="2:47" x14ac:dyDescent="0.35">
      <c r="B128" s="51"/>
      <c r="C128" s="51"/>
      <c r="D128" s="118"/>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51"/>
      <c r="AK128" s="51"/>
      <c r="AL128" s="51"/>
      <c r="AM128" s="51"/>
      <c r="AN128" s="51"/>
      <c r="AO128" s="51"/>
      <c r="AP128" s="51"/>
      <c r="AQ128" s="51"/>
      <c r="AR128" s="51"/>
      <c r="AS128" s="51"/>
      <c r="AT128" s="51"/>
      <c r="AU128" s="51"/>
    </row>
    <row r="129" spans="2:47" x14ac:dyDescent="0.35">
      <c r="B129" s="51"/>
      <c r="C129" s="51"/>
      <c r="D129" s="118"/>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51"/>
      <c r="AK129" s="51"/>
      <c r="AL129" s="51"/>
      <c r="AM129" s="51"/>
      <c r="AN129" s="51"/>
      <c r="AO129" s="51"/>
      <c r="AP129" s="51"/>
      <c r="AQ129" s="51"/>
      <c r="AR129" s="51"/>
      <c r="AS129" s="51"/>
      <c r="AT129" s="51"/>
      <c r="AU129" s="51"/>
    </row>
    <row r="130" spans="2:47" x14ac:dyDescent="0.35">
      <c r="B130" s="51"/>
      <c r="C130" s="51"/>
      <c r="D130" s="118"/>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51"/>
      <c r="AK130" s="51"/>
      <c r="AL130" s="51"/>
      <c r="AM130" s="51"/>
      <c r="AN130" s="51"/>
      <c r="AO130" s="51"/>
      <c r="AP130" s="51"/>
      <c r="AQ130" s="51"/>
      <c r="AR130" s="51"/>
      <c r="AS130" s="51"/>
      <c r="AT130" s="51"/>
      <c r="AU130" s="51"/>
    </row>
    <row r="131" spans="2:47" x14ac:dyDescent="0.35">
      <c r="B131" s="51"/>
      <c r="C131" s="51"/>
      <c r="D131" s="118"/>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c r="AJ131" s="51"/>
      <c r="AK131" s="51"/>
      <c r="AL131" s="51"/>
      <c r="AM131" s="51"/>
      <c r="AN131" s="51"/>
      <c r="AO131" s="51"/>
      <c r="AP131" s="51"/>
      <c r="AQ131" s="51"/>
      <c r="AR131" s="51"/>
      <c r="AS131" s="51"/>
      <c r="AT131" s="51"/>
      <c r="AU131" s="51"/>
    </row>
    <row r="132" spans="2:47" x14ac:dyDescent="0.35">
      <c r="B132" s="51"/>
      <c r="C132" s="51"/>
      <c r="D132" s="118"/>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AM132" s="51"/>
      <c r="AN132" s="51"/>
      <c r="AO132" s="51"/>
      <c r="AP132" s="51"/>
      <c r="AQ132" s="51"/>
      <c r="AR132" s="51"/>
      <c r="AS132" s="51"/>
      <c r="AT132" s="51"/>
      <c r="AU132" s="51"/>
    </row>
    <row r="133" spans="2:47" x14ac:dyDescent="0.35">
      <c r="B133" s="51"/>
      <c r="C133" s="51"/>
      <c r="D133" s="118"/>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AM133" s="51"/>
      <c r="AN133" s="51"/>
      <c r="AO133" s="51"/>
      <c r="AP133" s="51"/>
      <c r="AQ133" s="51"/>
      <c r="AR133" s="51"/>
      <c r="AS133" s="51"/>
      <c r="AT133" s="51"/>
      <c r="AU133" s="51"/>
    </row>
    <row r="134" spans="2:47" x14ac:dyDescent="0.35">
      <c r="B134" s="51"/>
      <c r="C134" s="51"/>
      <c r="D134" s="118"/>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51"/>
      <c r="AP134" s="51"/>
      <c r="AQ134" s="51"/>
      <c r="AR134" s="51"/>
      <c r="AS134" s="51"/>
      <c r="AT134" s="51"/>
      <c r="AU134" s="51"/>
    </row>
    <row r="135" spans="2:47" x14ac:dyDescent="0.35">
      <c r="B135" s="51"/>
      <c r="C135" s="51"/>
      <c r="D135" s="118"/>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1"/>
      <c r="AN135" s="51"/>
      <c r="AO135" s="51"/>
      <c r="AP135" s="51"/>
      <c r="AQ135" s="51"/>
      <c r="AR135" s="51"/>
      <c r="AS135" s="51"/>
      <c r="AT135" s="51"/>
      <c r="AU135" s="51"/>
    </row>
    <row r="136" spans="2:47" x14ac:dyDescent="0.35">
      <c r="B136" s="51"/>
      <c r="C136" s="51"/>
      <c r="D136" s="118"/>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c r="AM136" s="51"/>
      <c r="AN136" s="51"/>
      <c r="AO136" s="51"/>
      <c r="AP136" s="51"/>
      <c r="AQ136" s="51"/>
      <c r="AR136" s="51"/>
      <c r="AS136" s="51"/>
      <c r="AT136" s="51"/>
      <c r="AU136" s="51"/>
    </row>
    <row r="137" spans="2:47" x14ac:dyDescent="0.35">
      <c r="B137" s="51"/>
      <c r="C137" s="51"/>
      <c r="D137" s="118"/>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c r="AN137" s="51"/>
      <c r="AO137" s="51"/>
      <c r="AP137" s="51"/>
      <c r="AQ137" s="51"/>
      <c r="AR137" s="51"/>
      <c r="AS137" s="51"/>
      <c r="AT137" s="51"/>
      <c r="AU137" s="51"/>
    </row>
    <row r="138" spans="2:47" x14ac:dyDescent="0.35">
      <c r="B138" s="51"/>
      <c r="C138" s="51"/>
      <c r="D138" s="118"/>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row>
    <row r="139" spans="2:47" x14ac:dyDescent="0.35">
      <c r="B139" s="51"/>
      <c r="C139" s="51"/>
      <c r="D139" s="118"/>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c r="AI139" s="51"/>
      <c r="AJ139" s="51"/>
      <c r="AK139" s="51"/>
      <c r="AL139" s="51"/>
      <c r="AM139" s="51"/>
      <c r="AN139" s="51"/>
      <c r="AO139" s="51"/>
      <c r="AP139" s="51"/>
      <c r="AQ139" s="51"/>
      <c r="AR139" s="51"/>
      <c r="AS139" s="51"/>
      <c r="AT139" s="51"/>
      <c r="AU139" s="51"/>
    </row>
    <row r="140" spans="2:47" x14ac:dyDescent="0.35">
      <c r="B140" s="51"/>
      <c r="C140" s="51"/>
      <c r="D140" s="118"/>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c r="AI140" s="51"/>
      <c r="AJ140" s="51"/>
      <c r="AK140" s="51"/>
      <c r="AL140" s="51"/>
      <c r="AM140" s="51"/>
      <c r="AN140" s="51"/>
      <c r="AO140" s="51"/>
      <c r="AP140" s="51"/>
      <c r="AQ140" s="51"/>
      <c r="AR140" s="51"/>
      <c r="AS140" s="51"/>
      <c r="AT140" s="51"/>
      <c r="AU140" s="51"/>
    </row>
    <row r="141" spans="2:47" x14ac:dyDescent="0.35">
      <c r="B141" s="51"/>
      <c r="C141" s="51"/>
      <c r="D141" s="118"/>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c r="AI141" s="51"/>
      <c r="AJ141" s="51"/>
      <c r="AK141" s="51"/>
      <c r="AL141" s="51"/>
      <c r="AM141" s="51"/>
      <c r="AN141" s="51"/>
      <c r="AO141" s="51"/>
      <c r="AP141" s="51"/>
      <c r="AQ141" s="51"/>
      <c r="AR141" s="51"/>
      <c r="AS141" s="51"/>
      <c r="AT141" s="51"/>
      <c r="AU141" s="51"/>
    </row>
    <row r="142" spans="2:47" x14ac:dyDescent="0.35">
      <c r="B142" s="51"/>
      <c r="C142" s="51"/>
      <c r="D142" s="118"/>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51"/>
      <c r="AI142" s="51"/>
      <c r="AJ142" s="51"/>
      <c r="AK142" s="51"/>
      <c r="AL142" s="51"/>
      <c r="AM142" s="51"/>
      <c r="AN142" s="51"/>
      <c r="AO142" s="51"/>
      <c r="AP142" s="51"/>
      <c r="AQ142" s="51"/>
      <c r="AR142" s="51"/>
      <c r="AS142" s="51"/>
      <c r="AT142" s="51"/>
      <c r="AU142" s="51"/>
    </row>
    <row r="143" spans="2:47" x14ac:dyDescent="0.35">
      <c r="B143" s="51"/>
      <c r="C143" s="51"/>
      <c r="D143" s="118"/>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c r="AI143" s="51"/>
      <c r="AJ143" s="51"/>
      <c r="AK143" s="51"/>
      <c r="AL143" s="51"/>
      <c r="AM143" s="51"/>
      <c r="AN143" s="51"/>
      <c r="AO143" s="51"/>
      <c r="AP143" s="51"/>
      <c r="AQ143" s="51"/>
      <c r="AR143" s="51"/>
      <c r="AS143" s="51"/>
      <c r="AT143" s="51"/>
      <c r="AU143" s="51"/>
    </row>
    <row r="144" spans="2:47" x14ac:dyDescent="0.35">
      <c r="B144" s="51"/>
      <c r="C144" s="51"/>
      <c r="D144" s="118"/>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c r="AI144" s="51"/>
      <c r="AJ144" s="51"/>
      <c r="AK144" s="51"/>
      <c r="AL144" s="51"/>
      <c r="AM144" s="51"/>
      <c r="AN144" s="51"/>
      <c r="AO144" s="51"/>
      <c r="AP144" s="51"/>
      <c r="AQ144" s="51"/>
      <c r="AR144" s="51"/>
      <c r="AS144" s="51"/>
      <c r="AT144" s="51"/>
      <c r="AU144" s="51"/>
    </row>
    <row r="145" spans="2:47" x14ac:dyDescent="0.35">
      <c r="B145" s="51"/>
      <c r="C145" s="51"/>
      <c r="D145" s="118"/>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51"/>
      <c r="AK145" s="51"/>
      <c r="AL145" s="51"/>
      <c r="AM145" s="51"/>
      <c r="AN145" s="51"/>
      <c r="AO145" s="51"/>
      <c r="AP145" s="51"/>
      <c r="AQ145" s="51"/>
      <c r="AR145" s="51"/>
      <c r="AS145" s="51"/>
      <c r="AT145" s="51"/>
      <c r="AU145" s="51"/>
    </row>
    <row r="146" spans="2:47" x14ac:dyDescent="0.35">
      <c r="B146" s="51"/>
      <c r="C146" s="51"/>
      <c r="D146" s="118"/>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51"/>
      <c r="AI146" s="51"/>
      <c r="AJ146" s="51"/>
      <c r="AK146" s="51"/>
      <c r="AL146" s="51"/>
      <c r="AM146" s="51"/>
      <c r="AN146" s="51"/>
      <c r="AO146" s="51"/>
      <c r="AP146" s="51"/>
      <c r="AQ146" s="51"/>
      <c r="AR146" s="51"/>
      <c r="AS146" s="51"/>
      <c r="AT146" s="51"/>
      <c r="AU146" s="51"/>
    </row>
    <row r="147" spans="2:47" x14ac:dyDescent="0.35">
      <c r="B147" s="51"/>
      <c r="C147" s="51"/>
      <c r="D147" s="118"/>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51"/>
      <c r="AF147" s="51"/>
      <c r="AG147" s="51"/>
      <c r="AH147" s="51"/>
      <c r="AI147" s="51"/>
      <c r="AJ147" s="51"/>
      <c r="AK147" s="51"/>
      <c r="AL147" s="51"/>
      <c r="AM147" s="51"/>
      <c r="AN147" s="51"/>
      <c r="AO147" s="51"/>
      <c r="AP147" s="51"/>
      <c r="AQ147" s="51"/>
      <c r="AR147" s="51"/>
      <c r="AS147" s="51"/>
      <c r="AT147" s="51"/>
      <c r="AU147" s="51"/>
    </row>
    <row r="148" spans="2:47" x14ac:dyDescent="0.35">
      <c r="B148" s="51"/>
      <c r="C148" s="51"/>
      <c r="D148" s="118"/>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H148" s="51"/>
      <c r="AI148" s="51"/>
      <c r="AJ148" s="51"/>
      <c r="AK148" s="51"/>
      <c r="AL148" s="51"/>
      <c r="AM148" s="51"/>
      <c r="AN148" s="51"/>
      <c r="AO148" s="51"/>
      <c r="AP148" s="51"/>
      <c r="AQ148" s="51"/>
      <c r="AR148" s="51"/>
      <c r="AS148" s="51"/>
      <c r="AT148" s="51"/>
      <c r="AU148" s="51"/>
    </row>
    <row r="149" spans="2:47" x14ac:dyDescent="0.35">
      <c r="B149" s="51"/>
      <c r="C149" s="51"/>
      <c r="D149" s="118"/>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c r="AJ149" s="51"/>
      <c r="AK149" s="51"/>
      <c r="AL149" s="51"/>
      <c r="AM149" s="51"/>
      <c r="AN149" s="51"/>
      <c r="AO149" s="51"/>
      <c r="AP149" s="51"/>
      <c r="AQ149" s="51"/>
      <c r="AR149" s="51"/>
      <c r="AS149" s="51"/>
      <c r="AT149" s="51"/>
      <c r="AU149" s="51"/>
    </row>
    <row r="150" spans="2:47" x14ac:dyDescent="0.35">
      <c r="B150" s="51"/>
      <c r="C150" s="51"/>
      <c r="D150" s="118"/>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J150" s="51"/>
      <c r="AK150" s="51"/>
      <c r="AL150" s="51"/>
      <c r="AM150" s="51"/>
      <c r="AN150" s="51"/>
      <c r="AO150" s="51"/>
      <c r="AP150" s="51"/>
      <c r="AQ150" s="51"/>
      <c r="AR150" s="51"/>
      <c r="AS150" s="51"/>
      <c r="AT150" s="51"/>
      <c r="AU150" s="51"/>
    </row>
    <row r="151" spans="2:47" x14ac:dyDescent="0.35">
      <c r="B151" s="51"/>
      <c r="C151" s="51"/>
      <c r="D151" s="118"/>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c r="AJ151" s="51"/>
      <c r="AK151" s="51"/>
      <c r="AL151" s="51"/>
      <c r="AM151" s="51"/>
      <c r="AN151" s="51"/>
      <c r="AO151" s="51"/>
      <c r="AP151" s="51"/>
      <c r="AQ151" s="51"/>
      <c r="AR151" s="51"/>
      <c r="AS151" s="51"/>
      <c r="AT151" s="51"/>
      <c r="AU151" s="51"/>
    </row>
    <row r="152" spans="2:47" x14ac:dyDescent="0.35">
      <c r="B152" s="51"/>
      <c r="C152" s="51"/>
      <c r="D152" s="118"/>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51"/>
      <c r="AO152" s="51"/>
      <c r="AP152" s="51"/>
      <c r="AQ152" s="51"/>
      <c r="AR152" s="51"/>
      <c r="AS152" s="51"/>
      <c r="AT152" s="51"/>
      <c r="AU152" s="51"/>
    </row>
    <row r="153" spans="2:47" x14ac:dyDescent="0.35">
      <c r="B153" s="51"/>
      <c r="C153" s="51"/>
      <c r="D153" s="118"/>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c r="AL153" s="51"/>
      <c r="AM153" s="51"/>
      <c r="AN153" s="51"/>
      <c r="AO153" s="51"/>
      <c r="AP153" s="51"/>
      <c r="AQ153" s="51"/>
      <c r="AR153" s="51"/>
      <c r="AS153" s="51"/>
      <c r="AT153" s="51"/>
      <c r="AU153" s="51"/>
    </row>
    <row r="154" spans="2:47" x14ac:dyDescent="0.35">
      <c r="B154" s="51"/>
      <c r="C154" s="51"/>
      <c r="D154" s="118"/>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AM154" s="51"/>
      <c r="AN154" s="51"/>
      <c r="AO154" s="51"/>
      <c r="AP154" s="51"/>
      <c r="AQ154" s="51"/>
      <c r="AR154" s="51"/>
      <c r="AS154" s="51"/>
      <c r="AT154" s="51"/>
      <c r="AU154" s="51"/>
    </row>
    <row r="155" spans="2:47" x14ac:dyDescent="0.35">
      <c r="B155" s="51"/>
      <c r="C155" s="51"/>
      <c r="D155" s="118"/>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c r="AL155" s="51"/>
      <c r="AM155" s="51"/>
      <c r="AN155" s="51"/>
      <c r="AO155" s="51"/>
      <c r="AP155" s="51"/>
      <c r="AQ155" s="51"/>
      <c r="AR155" s="51"/>
      <c r="AS155" s="51"/>
      <c r="AT155" s="51"/>
      <c r="AU155" s="51"/>
    </row>
    <row r="156" spans="2:47" x14ac:dyDescent="0.35">
      <c r="B156" s="51"/>
      <c r="C156" s="51"/>
      <c r="D156" s="118"/>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51"/>
      <c r="AI156" s="51"/>
      <c r="AJ156" s="51"/>
      <c r="AK156" s="51"/>
      <c r="AL156" s="51"/>
      <c r="AM156" s="51"/>
      <c r="AN156" s="51"/>
      <c r="AO156" s="51"/>
      <c r="AP156" s="51"/>
      <c r="AQ156" s="51"/>
      <c r="AR156" s="51"/>
      <c r="AS156" s="51"/>
      <c r="AT156" s="51"/>
      <c r="AU156" s="51"/>
    </row>
    <row r="157" spans="2:47" x14ac:dyDescent="0.35">
      <c r="B157" s="51"/>
      <c r="C157" s="51"/>
      <c r="D157" s="118"/>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51"/>
      <c r="AG157" s="51"/>
      <c r="AH157" s="51"/>
      <c r="AI157" s="51"/>
      <c r="AJ157" s="51"/>
      <c r="AK157" s="51"/>
      <c r="AL157" s="51"/>
      <c r="AM157" s="51"/>
      <c r="AN157" s="51"/>
      <c r="AO157" s="51"/>
      <c r="AP157" s="51"/>
      <c r="AQ157" s="51"/>
      <c r="AR157" s="51"/>
      <c r="AS157" s="51"/>
      <c r="AT157" s="51"/>
      <c r="AU157" s="51"/>
    </row>
    <row r="158" spans="2:47" x14ac:dyDescent="0.35">
      <c r="B158" s="51"/>
      <c r="C158" s="51"/>
      <c r="D158" s="118"/>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c r="AD158" s="51"/>
      <c r="AE158" s="51"/>
      <c r="AF158" s="51"/>
      <c r="AG158" s="51"/>
      <c r="AH158" s="51"/>
      <c r="AI158" s="51"/>
      <c r="AJ158" s="51"/>
      <c r="AK158" s="51"/>
      <c r="AL158" s="51"/>
      <c r="AM158" s="51"/>
      <c r="AN158" s="51"/>
      <c r="AO158" s="51"/>
      <c r="AP158" s="51"/>
      <c r="AQ158" s="51"/>
      <c r="AR158" s="51"/>
      <c r="AS158" s="51"/>
      <c r="AT158" s="51"/>
      <c r="AU158" s="51"/>
    </row>
    <row r="159" spans="2:47" x14ac:dyDescent="0.35">
      <c r="B159" s="51"/>
      <c r="C159" s="51"/>
      <c r="D159" s="118"/>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E159" s="51"/>
      <c r="AF159" s="51"/>
      <c r="AG159" s="51"/>
      <c r="AH159" s="51"/>
      <c r="AI159" s="51"/>
      <c r="AJ159" s="51"/>
      <c r="AK159" s="51"/>
      <c r="AL159" s="51"/>
      <c r="AM159" s="51"/>
      <c r="AN159" s="51"/>
      <c r="AO159" s="51"/>
      <c r="AP159" s="51"/>
      <c r="AQ159" s="51"/>
      <c r="AR159" s="51"/>
      <c r="AS159" s="51"/>
      <c r="AT159" s="51"/>
      <c r="AU159" s="51"/>
    </row>
    <row r="160" spans="2:47" x14ac:dyDescent="0.35">
      <c r="B160" s="51"/>
      <c r="C160" s="51"/>
      <c r="D160" s="118"/>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E160" s="51"/>
      <c r="AF160" s="51"/>
      <c r="AG160" s="51"/>
      <c r="AH160" s="51"/>
      <c r="AI160" s="51"/>
      <c r="AJ160" s="51"/>
      <c r="AK160" s="51"/>
      <c r="AL160" s="51"/>
      <c r="AM160" s="51"/>
      <c r="AN160" s="51"/>
      <c r="AO160" s="51"/>
      <c r="AP160" s="51"/>
      <c r="AQ160" s="51"/>
      <c r="AR160" s="51"/>
      <c r="AS160" s="51"/>
      <c r="AT160" s="51"/>
      <c r="AU160" s="51"/>
    </row>
    <row r="161" spans="2:47" x14ac:dyDescent="0.35">
      <c r="B161" s="51"/>
      <c r="C161" s="51"/>
      <c r="D161" s="118"/>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c r="AS161" s="51"/>
      <c r="AT161" s="51"/>
      <c r="AU161" s="51"/>
    </row>
    <row r="162" spans="2:47" x14ac:dyDescent="0.35">
      <c r="B162" s="51"/>
      <c r="C162" s="51"/>
      <c r="D162" s="118"/>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c r="AS162" s="51"/>
      <c r="AT162" s="51"/>
      <c r="AU162" s="51"/>
    </row>
    <row r="163" spans="2:47" x14ac:dyDescent="0.35">
      <c r="B163" s="51"/>
      <c r="C163" s="51"/>
      <c r="D163" s="118"/>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c r="AS163" s="51"/>
      <c r="AT163" s="51"/>
      <c r="AU163" s="51"/>
    </row>
    <row r="164" spans="2:47" x14ac:dyDescent="0.35">
      <c r="B164" s="51"/>
      <c r="C164" s="51"/>
      <c r="D164" s="118"/>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AM164" s="51"/>
      <c r="AN164" s="51"/>
      <c r="AO164" s="51"/>
      <c r="AP164" s="51"/>
      <c r="AQ164" s="51"/>
      <c r="AR164" s="51"/>
      <c r="AS164" s="51"/>
      <c r="AT164" s="51"/>
      <c r="AU164" s="51"/>
    </row>
    <row r="165" spans="2:47" x14ac:dyDescent="0.35">
      <c r="B165" s="51"/>
      <c r="C165" s="51"/>
      <c r="D165" s="118"/>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c r="AM165" s="51"/>
      <c r="AN165" s="51"/>
      <c r="AO165" s="51"/>
      <c r="AP165" s="51"/>
      <c r="AQ165" s="51"/>
      <c r="AR165" s="51"/>
      <c r="AS165" s="51"/>
      <c r="AT165" s="51"/>
      <c r="AU165" s="51"/>
    </row>
    <row r="166" spans="2:47" x14ac:dyDescent="0.35">
      <c r="B166" s="51"/>
      <c r="C166" s="51"/>
      <c r="D166" s="118"/>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c r="AM166" s="51"/>
      <c r="AN166" s="51"/>
      <c r="AO166" s="51"/>
      <c r="AP166" s="51"/>
      <c r="AQ166" s="51"/>
      <c r="AR166" s="51"/>
      <c r="AS166" s="51"/>
      <c r="AT166" s="51"/>
      <c r="AU166" s="51"/>
    </row>
    <row r="167" spans="2:47" x14ac:dyDescent="0.35">
      <c r="B167" s="51"/>
      <c r="C167" s="51"/>
      <c r="D167" s="118"/>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AM167" s="51"/>
      <c r="AN167" s="51"/>
      <c r="AO167" s="51"/>
      <c r="AP167" s="51"/>
      <c r="AQ167" s="51"/>
      <c r="AR167" s="51"/>
      <c r="AS167" s="51"/>
      <c r="AT167" s="51"/>
      <c r="AU167" s="51"/>
    </row>
    <row r="168" spans="2:47" x14ac:dyDescent="0.35">
      <c r="B168" s="51"/>
      <c r="C168" s="51"/>
      <c r="D168" s="118"/>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c r="AM168" s="51"/>
      <c r="AN168" s="51"/>
      <c r="AO168" s="51"/>
      <c r="AP168" s="51"/>
      <c r="AQ168" s="51"/>
      <c r="AR168" s="51"/>
      <c r="AS168" s="51"/>
      <c r="AT168" s="51"/>
      <c r="AU168" s="51"/>
    </row>
    <row r="169" spans="2:47" x14ac:dyDescent="0.35">
      <c r="B169" s="51"/>
      <c r="C169" s="51"/>
      <c r="D169" s="118"/>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c r="AS169" s="51"/>
      <c r="AT169" s="51"/>
      <c r="AU169" s="51"/>
    </row>
    <row r="170" spans="2:47" x14ac:dyDescent="0.35">
      <c r="B170" s="51"/>
      <c r="C170" s="51"/>
      <c r="D170" s="118"/>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AM170" s="51"/>
      <c r="AN170" s="51"/>
      <c r="AO170" s="51"/>
      <c r="AP170" s="51"/>
      <c r="AQ170" s="51"/>
      <c r="AR170" s="51"/>
      <c r="AS170" s="51"/>
      <c r="AT170" s="51"/>
      <c r="AU170" s="51"/>
    </row>
    <row r="171" spans="2:47" x14ac:dyDescent="0.35">
      <c r="B171" s="51"/>
      <c r="C171" s="51"/>
      <c r="D171" s="118"/>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AM171" s="51"/>
      <c r="AN171" s="51"/>
      <c r="AO171" s="51"/>
      <c r="AP171" s="51"/>
      <c r="AQ171" s="51"/>
      <c r="AR171" s="51"/>
      <c r="AS171" s="51"/>
      <c r="AT171" s="51"/>
      <c r="AU171" s="51"/>
    </row>
    <row r="172" spans="2:47" x14ac:dyDescent="0.35">
      <c r="B172" s="51"/>
      <c r="C172" s="51"/>
      <c r="D172" s="118"/>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c r="AM172" s="51"/>
      <c r="AN172" s="51"/>
      <c r="AO172" s="51"/>
      <c r="AP172" s="51"/>
      <c r="AQ172" s="51"/>
      <c r="AR172" s="51"/>
      <c r="AS172" s="51"/>
      <c r="AT172" s="51"/>
      <c r="AU172" s="51"/>
    </row>
    <row r="173" spans="2:47" x14ac:dyDescent="0.35">
      <c r="B173" s="51"/>
      <c r="C173" s="51"/>
      <c r="D173" s="118"/>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c r="AM173" s="51"/>
      <c r="AN173" s="51"/>
      <c r="AO173" s="51"/>
      <c r="AP173" s="51"/>
      <c r="AQ173" s="51"/>
      <c r="AR173" s="51"/>
      <c r="AS173" s="51"/>
      <c r="AT173" s="51"/>
      <c r="AU173" s="51"/>
    </row>
    <row r="174" spans="2:47" x14ac:dyDescent="0.35">
      <c r="B174" s="51"/>
      <c r="C174" s="51"/>
      <c r="D174" s="118"/>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51"/>
      <c r="AM174" s="51"/>
      <c r="AN174" s="51"/>
      <c r="AO174" s="51"/>
      <c r="AP174" s="51"/>
      <c r="AQ174" s="51"/>
      <c r="AR174" s="51"/>
      <c r="AS174" s="51"/>
      <c r="AT174" s="51"/>
      <c r="AU174" s="51"/>
    </row>
    <row r="175" spans="2:47" x14ac:dyDescent="0.35">
      <c r="B175" s="51"/>
      <c r="C175" s="51"/>
      <c r="D175" s="118"/>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51"/>
      <c r="AK175" s="51"/>
      <c r="AL175" s="51"/>
      <c r="AM175" s="51"/>
      <c r="AN175" s="51"/>
      <c r="AO175" s="51"/>
      <c r="AP175" s="51"/>
      <c r="AQ175" s="51"/>
      <c r="AR175" s="51"/>
      <c r="AS175" s="51"/>
      <c r="AT175" s="51"/>
      <c r="AU175" s="51"/>
    </row>
    <row r="176" spans="2:47" x14ac:dyDescent="0.35">
      <c r="B176" s="51"/>
      <c r="C176" s="51"/>
      <c r="D176" s="118"/>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51"/>
      <c r="AK176" s="51"/>
      <c r="AL176" s="51"/>
      <c r="AM176" s="51"/>
      <c r="AN176" s="51"/>
      <c r="AO176" s="51"/>
      <c r="AP176" s="51"/>
      <c r="AQ176" s="51"/>
      <c r="AR176" s="51"/>
      <c r="AS176" s="51"/>
      <c r="AT176" s="51"/>
      <c r="AU176" s="51"/>
    </row>
    <row r="177" spans="2:47" x14ac:dyDescent="0.35">
      <c r="B177" s="51"/>
      <c r="C177" s="51"/>
      <c r="D177" s="118"/>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c r="AL177" s="51"/>
      <c r="AM177" s="51"/>
      <c r="AN177" s="51"/>
      <c r="AO177" s="51"/>
      <c r="AP177" s="51"/>
      <c r="AQ177" s="51"/>
      <c r="AR177" s="51"/>
      <c r="AS177" s="51"/>
      <c r="AT177" s="51"/>
      <c r="AU177" s="51"/>
    </row>
    <row r="178" spans="2:47" x14ac:dyDescent="0.35">
      <c r="B178" s="51"/>
      <c r="C178" s="51"/>
      <c r="D178" s="118"/>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51"/>
      <c r="AL178" s="51"/>
      <c r="AM178" s="51"/>
      <c r="AN178" s="51"/>
      <c r="AO178" s="51"/>
      <c r="AP178" s="51"/>
      <c r="AQ178" s="51"/>
      <c r="AR178" s="51"/>
      <c r="AS178" s="51"/>
      <c r="AT178" s="51"/>
      <c r="AU178" s="51"/>
    </row>
    <row r="179" spans="2:47" x14ac:dyDescent="0.35">
      <c r="B179" s="51"/>
      <c r="C179" s="51"/>
      <c r="D179" s="118"/>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c r="AM179" s="51"/>
      <c r="AN179" s="51"/>
      <c r="AO179" s="51"/>
      <c r="AP179" s="51"/>
      <c r="AQ179" s="51"/>
      <c r="AR179" s="51"/>
      <c r="AS179" s="51"/>
      <c r="AT179" s="51"/>
      <c r="AU179" s="51"/>
    </row>
    <row r="180" spans="2:47" x14ac:dyDescent="0.35">
      <c r="B180" s="51"/>
      <c r="C180" s="51"/>
      <c r="D180" s="118"/>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c r="AM180" s="51"/>
      <c r="AN180" s="51"/>
      <c r="AO180" s="51"/>
      <c r="AP180" s="51"/>
      <c r="AQ180" s="51"/>
      <c r="AR180" s="51"/>
      <c r="AS180" s="51"/>
      <c r="AT180" s="51"/>
      <c r="AU180" s="51"/>
    </row>
    <row r="181" spans="2:47" x14ac:dyDescent="0.35">
      <c r="B181" s="51"/>
      <c r="C181" s="51"/>
      <c r="D181" s="118"/>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c r="AM181" s="51"/>
      <c r="AN181" s="51"/>
      <c r="AO181" s="51"/>
      <c r="AP181" s="51"/>
      <c r="AQ181" s="51"/>
      <c r="AR181" s="51"/>
      <c r="AS181" s="51"/>
      <c r="AT181" s="51"/>
      <c r="AU181" s="51"/>
    </row>
    <row r="182" spans="2:47" x14ac:dyDescent="0.35">
      <c r="B182" s="51"/>
      <c r="C182" s="51"/>
      <c r="D182" s="118"/>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c r="AK182" s="51"/>
      <c r="AL182" s="51"/>
      <c r="AM182" s="51"/>
      <c r="AN182" s="51"/>
      <c r="AO182" s="51"/>
      <c r="AP182" s="51"/>
      <c r="AQ182" s="51"/>
      <c r="AR182" s="51"/>
      <c r="AS182" s="51"/>
      <c r="AT182" s="51"/>
      <c r="AU182" s="51"/>
    </row>
    <row r="183" spans="2:47" x14ac:dyDescent="0.35">
      <c r="B183" s="51"/>
      <c r="C183" s="51"/>
      <c r="D183" s="118"/>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51"/>
      <c r="AI183" s="51"/>
      <c r="AJ183" s="51"/>
      <c r="AK183" s="51"/>
      <c r="AL183" s="51"/>
      <c r="AM183" s="51"/>
      <c r="AN183" s="51"/>
      <c r="AO183" s="51"/>
      <c r="AP183" s="51"/>
      <c r="AQ183" s="51"/>
      <c r="AR183" s="51"/>
      <c r="AS183" s="51"/>
      <c r="AT183" s="51"/>
      <c r="AU183" s="51"/>
    </row>
    <row r="184" spans="2:47" x14ac:dyDescent="0.35">
      <c r="B184" s="51"/>
      <c r="C184" s="51"/>
      <c r="D184" s="118"/>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c r="AM184" s="51"/>
      <c r="AN184" s="51"/>
      <c r="AO184" s="51"/>
      <c r="AP184" s="51"/>
      <c r="AQ184" s="51"/>
      <c r="AR184" s="51"/>
      <c r="AS184" s="51"/>
      <c r="AT184" s="51"/>
      <c r="AU184" s="51"/>
    </row>
    <row r="185" spans="2:47" x14ac:dyDescent="0.35">
      <c r="B185" s="51"/>
      <c r="C185" s="51"/>
      <c r="D185" s="118"/>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51"/>
      <c r="AK185" s="51"/>
      <c r="AL185" s="51"/>
      <c r="AM185" s="51"/>
      <c r="AN185" s="51"/>
      <c r="AO185" s="51"/>
      <c r="AP185" s="51"/>
      <c r="AQ185" s="51"/>
      <c r="AR185" s="51"/>
      <c r="AS185" s="51"/>
      <c r="AT185" s="51"/>
      <c r="AU185" s="51"/>
    </row>
    <row r="186" spans="2:47" x14ac:dyDescent="0.35">
      <c r="B186" s="51"/>
      <c r="C186" s="51"/>
      <c r="D186" s="118"/>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51"/>
      <c r="AI186" s="51"/>
      <c r="AJ186" s="51"/>
      <c r="AK186" s="51"/>
      <c r="AL186" s="51"/>
      <c r="AM186" s="51"/>
      <c r="AN186" s="51"/>
      <c r="AO186" s="51"/>
      <c r="AP186" s="51"/>
      <c r="AQ186" s="51"/>
      <c r="AR186" s="51"/>
      <c r="AS186" s="51"/>
      <c r="AT186" s="51"/>
      <c r="AU186" s="51"/>
    </row>
    <row r="187" spans="2:47" x14ac:dyDescent="0.35">
      <c r="B187" s="51"/>
      <c r="C187" s="51"/>
      <c r="D187" s="118"/>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51"/>
      <c r="AG187" s="51"/>
      <c r="AH187" s="51"/>
      <c r="AI187" s="51"/>
      <c r="AJ187" s="51"/>
      <c r="AK187" s="51"/>
      <c r="AL187" s="51"/>
      <c r="AM187" s="51"/>
      <c r="AN187" s="51"/>
      <c r="AO187" s="51"/>
      <c r="AP187" s="51"/>
      <c r="AQ187" s="51"/>
      <c r="AR187" s="51"/>
      <c r="AS187" s="51"/>
      <c r="AT187" s="51"/>
      <c r="AU187" s="51"/>
    </row>
    <row r="188" spans="2:47" x14ac:dyDescent="0.35">
      <c r="B188" s="51"/>
      <c r="C188" s="51"/>
      <c r="D188" s="118"/>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c r="AJ188" s="51"/>
      <c r="AK188" s="51"/>
      <c r="AL188" s="51"/>
      <c r="AM188" s="51"/>
      <c r="AN188" s="51"/>
      <c r="AO188" s="51"/>
      <c r="AP188" s="51"/>
      <c r="AQ188" s="51"/>
      <c r="AR188" s="51"/>
      <c r="AS188" s="51"/>
      <c r="AT188" s="51"/>
      <c r="AU188" s="51"/>
    </row>
  </sheetData>
  <mergeCells count="4">
    <mergeCell ref="N58:Q63"/>
    <mergeCell ref="D57:G63"/>
    <mergeCell ref="H57:H63"/>
    <mergeCell ref="I57:L63"/>
  </mergeCells>
  <phoneticPr fontId="1" type="noConversion"/>
  <printOptions horizontalCentered="1"/>
  <pageMargins left="0.39370078740157483" right="0.39370078740157483" top="0.31496062992125984" bottom="0.31496062992125984" header="0.31496062992125984" footer="0"/>
  <pageSetup scale="54"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88E64-8C5C-4303-A99B-9B5012773263}">
  <sheetPr>
    <tabColor theme="1"/>
  </sheetPr>
  <dimension ref="A1:P32"/>
  <sheetViews>
    <sheetView showGridLines="0" view="pageBreakPreview" zoomScaleNormal="100" zoomScaleSheetLayoutView="100" workbookViewId="0">
      <pane xSplit="1" ySplit="4" topLeftCell="B5" activePane="bottomRight" state="frozen"/>
      <selection activeCell="I22" sqref="I22"/>
      <selection pane="topRight" activeCell="I22" sqref="I22"/>
      <selection pane="bottomLeft" activeCell="I22" sqref="I22"/>
      <selection pane="bottomRight" activeCell="A19" sqref="A19"/>
    </sheetView>
  </sheetViews>
  <sheetFormatPr defaultRowHeight="13.5" x14ac:dyDescent="0.35"/>
  <cols>
    <col min="1" max="1" width="2.53125" style="14" customWidth="1"/>
    <col min="2" max="2" width="25.9296875" style="14" customWidth="1"/>
    <col min="3" max="3" width="8.86328125" style="14" customWidth="1"/>
    <col min="4" max="4" width="12.19921875" style="14" customWidth="1"/>
    <col min="5" max="5" width="9.06640625" style="14"/>
    <col min="6" max="6" width="2.6640625" style="14" customWidth="1"/>
    <col min="7" max="7" width="9.06640625" style="14"/>
    <col min="8" max="8" width="2.265625" style="14" customWidth="1"/>
    <col min="9" max="9" width="2.1328125" style="14" customWidth="1"/>
    <col min="10" max="10" width="2.46484375" style="14" customWidth="1"/>
    <col min="11" max="11" width="9" style="14" customWidth="1"/>
    <col min="12" max="14" width="9.06640625" style="14"/>
    <col min="15" max="15" width="2.265625" style="14" customWidth="1"/>
    <col min="16" max="16384" width="9.06640625" style="14"/>
  </cols>
  <sheetData>
    <row r="1" spans="1:16" s="6" customFormat="1" ht="17.649999999999999" x14ac:dyDescent="0.5">
      <c r="A1" s="1"/>
      <c r="B1" s="2" t="str">
        <f>Name</f>
        <v>Natera</v>
      </c>
      <c r="C1" s="11"/>
      <c r="D1" s="5"/>
    </row>
    <row r="2" spans="1:16" s="6" customFormat="1" ht="17.649999999999999" x14ac:dyDescent="0.5">
      <c r="A2" s="7"/>
      <c r="B2" s="8" t="s">
        <v>63</v>
      </c>
      <c r="C2" s="12"/>
    </row>
    <row r="3" spans="1:16" s="6" customFormat="1" ht="12.75" customHeight="1" x14ac:dyDescent="0.35">
      <c r="B3" s="159" t="s">
        <v>82</v>
      </c>
      <c r="C3" s="160" t="s">
        <v>83</v>
      </c>
      <c r="D3" s="250" t="s">
        <v>84</v>
      </c>
      <c r="E3" s="250" t="s">
        <v>104</v>
      </c>
      <c r="F3" s="161"/>
      <c r="G3" s="240" t="s">
        <v>108</v>
      </c>
      <c r="H3" s="241"/>
      <c r="I3" s="51"/>
      <c r="K3" s="130" t="s">
        <v>226</v>
      </c>
    </row>
    <row r="4" spans="1:16" s="16" customFormat="1" ht="12.75" customHeight="1" x14ac:dyDescent="0.35">
      <c r="B4" s="60" t="s">
        <v>262</v>
      </c>
      <c r="C4" s="61"/>
      <c r="D4" s="162"/>
      <c r="E4" s="251" t="s">
        <v>89</v>
      </c>
      <c r="F4" s="251"/>
      <c r="G4" s="252" t="s">
        <v>89</v>
      </c>
      <c r="H4" s="242"/>
      <c r="I4" s="51"/>
      <c r="J4" s="6"/>
    </row>
    <row r="5" spans="1:16" x14ac:dyDescent="0.35">
      <c r="A5" s="52" t="s">
        <v>36</v>
      </c>
      <c r="B5" s="244" t="s">
        <v>174</v>
      </c>
      <c r="C5" s="245" t="s">
        <v>173</v>
      </c>
      <c r="D5" s="246">
        <v>13030</v>
      </c>
      <c r="E5" s="247">
        <v>8.77</v>
      </c>
      <c r="F5" s="248"/>
      <c r="G5" s="249">
        <v>0.27110000000000001</v>
      </c>
      <c r="H5" s="362"/>
      <c r="I5" s="118"/>
      <c r="J5" s="90" t="s">
        <v>36</v>
      </c>
      <c r="K5" s="90" t="s">
        <v>183</v>
      </c>
      <c r="L5" s="90"/>
    </row>
    <row r="6" spans="1:16" x14ac:dyDescent="0.35">
      <c r="A6" s="51"/>
      <c r="B6" s="202" t="s">
        <v>175</v>
      </c>
      <c r="C6" s="216" t="s">
        <v>91</v>
      </c>
      <c r="D6" s="239">
        <v>2540</v>
      </c>
      <c r="E6" s="243">
        <v>3.1</v>
      </c>
      <c r="F6" s="179"/>
      <c r="G6" s="186">
        <v>9.8199999999999996E-2</v>
      </c>
      <c r="H6" s="53"/>
      <c r="I6" s="51"/>
    </row>
    <row r="7" spans="1:16" x14ac:dyDescent="0.35">
      <c r="A7" s="51"/>
      <c r="B7" s="202" t="s">
        <v>176</v>
      </c>
      <c r="C7" s="216" t="s">
        <v>90</v>
      </c>
      <c r="D7" s="239">
        <v>8830</v>
      </c>
      <c r="E7" s="243">
        <v>3.8</v>
      </c>
      <c r="F7" s="179"/>
      <c r="G7" s="186">
        <v>0.15529999999999999</v>
      </c>
      <c r="H7" s="53"/>
      <c r="I7" s="51"/>
      <c r="J7" s="51" t="s">
        <v>36</v>
      </c>
      <c r="K7" s="90" t="s">
        <v>257</v>
      </c>
      <c r="P7" s="88" t="s">
        <v>258</v>
      </c>
    </row>
    <row r="8" spans="1:16" x14ac:dyDescent="0.35">
      <c r="A8" s="51"/>
      <c r="B8" s="202" t="s">
        <v>177</v>
      </c>
      <c r="C8" s="216" t="s">
        <v>92</v>
      </c>
      <c r="D8" s="239">
        <v>1940</v>
      </c>
      <c r="E8" s="243">
        <v>3.3</v>
      </c>
      <c r="F8" s="179"/>
      <c r="G8" s="186">
        <v>0.1216</v>
      </c>
      <c r="H8" s="53"/>
      <c r="I8" s="51"/>
    </row>
    <row r="9" spans="1:16" x14ac:dyDescent="0.35">
      <c r="A9" s="51"/>
      <c r="B9" s="202" t="s">
        <v>181</v>
      </c>
      <c r="C9" s="216" t="s">
        <v>180</v>
      </c>
      <c r="D9" s="239">
        <v>614.53</v>
      </c>
      <c r="E9" s="243">
        <v>3.16</v>
      </c>
      <c r="F9" s="179"/>
      <c r="G9" s="186">
        <v>3.7100000000000001E-2</v>
      </c>
      <c r="H9" s="53"/>
      <c r="I9" s="51"/>
    </row>
    <row r="10" spans="1:16" x14ac:dyDescent="0.35">
      <c r="A10" s="51"/>
      <c r="B10" s="202" t="s">
        <v>178</v>
      </c>
      <c r="C10" s="216" t="s">
        <v>93</v>
      </c>
      <c r="D10" s="239">
        <v>3890</v>
      </c>
      <c r="E10" s="243">
        <v>6.09</v>
      </c>
      <c r="F10" s="179"/>
      <c r="G10" s="186">
        <v>0.21870000000000001</v>
      </c>
      <c r="H10" s="53"/>
      <c r="I10" s="51"/>
    </row>
    <row r="11" spans="1:16" x14ac:dyDescent="0.35">
      <c r="A11" s="51"/>
      <c r="B11" s="202" t="s">
        <v>179</v>
      </c>
      <c r="C11" s="216" t="s">
        <v>94</v>
      </c>
      <c r="D11" s="239">
        <v>961.36</v>
      </c>
      <c r="E11" s="243">
        <v>2.79</v>
      </c>
      <c r="F11" s="179"/>
      <c r="G11" s="186">
        <v>-2.35E-2</v>
      </c>
      <c r="H11" s="53"/>
      <c r="I11" s="51"/>
    </row>
    <row r="12" spans="1:16" x14ac:dyDescent="0.35">
      <c r="A12" s="51"/>
      <c r="B12" s="253" t="s">
        <v>85</v>
      </c>
      <c r="C12" s="121"/>
      <c r="D12" s="260">
        <f>AVERAGE(D6:D11)</f>
        <v>3129.3150000000001</v>
      </c>
      <c r="E12" s="261">
        <f>AVERAGE(E6:E11)</f>
        <v>3.7066666666666666</v>
      </c>
      <c r="F12" s="262"/>
      <c r="G12" s="187">
        <f>AVERAGE(G6:G11)</f>
        <v>0.10123333333333334</v>
      </c>
      <c r="H12" s="121"/>
      <c r="I12" s="51"/>
    </row>
    <row r="13" spans="1:16" x14ac:dyDescent="0.35">
      <c r="A13" s="51"/>
      <c r="B13" s="253" t="s">
        <v>86</v>
      </c>
      <c r="C13" s="121"/>
      <c r="D13" s="260">
        <f>MEDIAN(D6:D11)</f>
        <v>2240</v>
      </c>
      <c r="E13" s="261">
        <f>MEDIAN(E6:E11)</f>
        <v>3.23</v>
      </c>
      <c r="F13" s="262"/>
      <c r="G13" s="187">
        <f>MEDIAN(G6:G11)</f>
        <v>0.1099</v>
      </c>
      <c r="H13" s="121"/>
      <c r="I13" s="51"/>
    </row>
    <row r="14" spans="1:16" x14ac:dyDescent="0.35">
      <c r="A14" s="51"/>
      <c r="B14" s="253" t="s">
        <v>87</v>
      </c>
      <c r="C14" s="121"/>
      <c r="D14" s="260">
        <f>MAX(D6:D11)</f>
        <v>8830</v>
      </c>
      <c r="E14" s="261">
        <f>MAX(E6:E11)</f>
        <v>6.09</v>
      </c>
      <c r="F14" s="262"/>
      <c r="G14" s="187">
        <f>MAX(G6:G11)</f>
        <v>0.21870000000000001</v>
      </c>
      <c r="H14" s="121"/>
      <c r="I14" s="51"/>
    </row>
    <row r="15" spans="1:16" x14ac:dyDescent="0.35">
      <c r="A15" s="51"/>
      <c r="B15" s="254" t="s">
        <v>88</v>
      </c>
      <c r="C15" s="128"/>
      <c r="D15" s="263">
        <f>MIN(D6:D11)</f>
        <v>614.53</v>
      </c>
      <c r="E15" s="264">
        <f>MIN(E6:E11)</f>
        <v>2.79</v>
      </c>
      <c r="F15" s="265"/>
      <c r="G15" s="266">
        <f>MIN(G6:G11)</f>
        <v>-2.35E-2</v>
      </c>
      <c r="H15" s="128"/>
      <c r="I15" s="51"/>
    </row>
    <row r="16" spans="1:16" x14ac:dyDescent="0.35">
      <c r="A16" s="51"/>
      <c r="B16" s="71" t="s">
        <v>109</v>
      </c>
      <c r="C16" s="53"/>
      <c r="D16" s="51"/>
      <c r="E16" s="51"/>
      <c r="F16" s="51"/>
      <c r="G16" s="51"/>
      <c r="H16" s="51"/>
      <c r="I16" s="51"/>
    </row>
    <row r="17" spans="1:12" x14ac:dyDescent="0.35">
      <c r="A17" s="51"/>
      <c r="B17" s="71"/>
      <c r="C17" s="53"/>
      <c r="D17" s="51"/>
      <c r="F17" s="51"/>
      <c r="G17" s="51"/>
      <c r="H17" s="51"/>
      <c r="I17" s="51"/>
    </row>
    <row r="18" spans="1:12" x14ac:dyDescent="0.35">
      <c r="A18" s="51"/>
      <c r="B18" s="51"/>
      <c r="C18" s="53"/>
      <c r="D18" s="51"/>
      <c r="E18" s="51"/>
      <c r="F18" s="51"/>
      <c r="G18" s="51"/>
      <c r="H18" s="51"/>
      <c r="I18" s="51"/>
    </row>
    <row r="19" spans="1:12" x14ac:dyDescent="0.35">
      <c r="A19" s="52" t="s">
        <v>36</v>
      </c>
      <c r="B19" s="272" t="s">
        <v>228</v>
      </c>
      <c r="C19" s="271"/>
      <c r="D19" s="274"/>
      <c r="E19" s="278"/>
      <c r="F19" s="274"/>
      <c r="G19" s="274"/>
      <c r="H19" s="275"/>
      <c r="I19" s="51"/>
      <c r="J19" s="51"/>
      <c r="K19" s="51"/>
      <c r="L19" s="51"/>
    </row>
    <row r="20" spans="1:12" x14ac:dyDescent="0.35">
      <c r="A20" s="51"/>
      <c r="B20" s="51" t="s">
        <v>229</v>
      </c>
      <c r="C20" s="53"/>
      <c r="D20" s="51"/>
      <c r="E20" s="276">
        <f>'Revenue Buildup'!AL9</f>
        <v>1833.4099318328836</v>
      </c>
      <c r="F20" s="51"/>
      <c r="G20" s="51"/>
      <c r="H20" s="268"/>
      <c r="I20" s="90"/>
      <c r="J20" s="90"/>
      <c r="K20" s="90"/>
      <c r="L20" s="90"/>
    </row>
    <row r="21" spans="1:12" x14ac:dyDescent="0.35">
      <c r="A21" s="51"/>
      <c r="B21" s="140" t="s">
        <v>95</v>
      </c>
      <c r="C21" s="53"/>
      <c r="D21" s="51"/>
      <c r="E21" s="277">
        <v>8.8000000000000007</v>
      </c>
      <c r="F21" s="51"/>
      <c r="G21" s="51"/>
      <c r="H21" s="268"/>
      <c r="I21" s="90"/>
      <c r="J21" s="90" t="s">
        <v>36</v>
      </c>
      <c r="K21" s="90" t="s">
        <v>182</v>
      </c>
      <c r="L21" s="90"/>
    </row>
    <row r="22" spans="1:12" x14ac:dyDescent="0.35">
      <c r="A22" s="51"/>
      <c r="B22" s="118" t="s">
        <v>96</v>
      </c>
      <c r="C22" s="53"/>
      <c r="D22" s="51"/>
      <c r="E22" s="310">
        <f>BS!AL7+BS!AL8</f>
        <v>1023.8226050757704</v>
      </c>
      <c r="F22" s="51"/>
      <c r="G22" s="51"/>
      <c r="H22" s="268"/>
      <c r="I22" s="90"/>
      <c r="J22" s="90" t="s">
        <v>36</v>
      </c>
      <c r="K22" s="90" t="s">
        <v>224</v>
      </c>
      <c r="L22" s="90"/>
    </row>
    <row r="23" spans="1:12" x14ac:dyDescent="0.35">
      <c r="A23" s="51"/>
      <c r="B23" s="118" t="s">
        <v>97</v>
      </c>
      <c r="C23" s="53"/>
      <c r="D23" s="51"/>
      <c r="E23" s="137">
        <f>BS!AL31+BS!AL26</f>
        <v>363.67400000000004</v>
      </c>
      <c r="F23" s="51"/>
      <c r="G23" s="51"/>
      <c r="H23" s="268"/>
      <c r="I23" s="90"/>
      <c r="J23" s="90" t="s">
        <v>36</v>
      </c>
      <c r="K23" s="90" t="s">
        <v>225</v>
      </c>
      <c r="L23" s="90"/>
    </row>
    <row r="24" spans="1:12" x14ac:dyDescent="0.35">
      <c r="A24" s="51"/>
      <c r="B24" s="118" t="s">
        <v>53</v>
      </c>
      <c r="C24" s="53"/>
      <c r="D24" s="51"/>
      <c r="E24" s="137">
        <f>IS!AL26</f>
        <v>122.02213999999999</v>
      </c>
      <c r="F24" s="51"/>
      <c r="G24" s="51"/>
      <c r="H24" s="268"/>
      <c r="I24" s="90"/>
      <c r="J24" s="90"/>
      <c r="K24" s="90"/>
      <c r="L24" s="90"/>
    </row>
    <row r="25" spans="1:12" x14ac:dyDescent="0.35">
      <c r="A25" s="51"/>
      <c r="B25" s="279" t="s">
        <v>98</v>
      </c>
      <c r="C25" s="280"/>
      <c r="D25" s="283"/>
      <c r="E25" s="281">
        <f>(E20*E21+E22-E23)/E24</f>
        <v>137.63203960531382</v>
      </c>
      <c r="F25" s="51"/>
      <c r="G25" s="51"/>
      <c r="H25" s="268"/>
      <c r="I25" s="90"/>
      <c r="J25" s="90"/>
      <c r="K25" s="90"/>
      <c r="L25" s="90"/>
    </row>
    <row r="26" spans="1:12" x14ac:dyDescent="0.35">
      <c r="A26" s="51"/>
      <c r="B26" s="140" t="s">
        <v>99</v>
      </c>
      <c r="C26" s="53"/>
      <c r="D26" s="51"/>
      <c r="E26" s="269">
        <v>102.15</v>
      </c>
      <c r="F26" s="51"/>
      <c r="G26" s="51"/>
      <c r="H26" s="53"/>
      <c r="J26" s="90" t="s">
        <v>36</v>
      </c>
      <c r="K26" s="90" t="s">
        <v>249</v>
      </c>
    </row>
    <row r="27" spans="1:12" x14ac:dyDescent="0.35">
      <c r="A27" s="51"/>
      <c r="B27" s="118" t="s">
        <v>100</v>
      </c>
      <c r="C27" s="53"/>
      <c r="D27" s="51"/>
      <c r="E27" s="270">
        <f>E25/E26-1</f>
        <v>0.34735232114844661</v>
      </c>
      <c r="F27" s="51"/>
      <c r="G27" s="51"/>
      <c r="H27" s="53"/>
      <c r="I27" s="51"/>
      <c r="J27" s="51"/>
      <c r="K27" s="51"/>
      <c r="L27" s="51"/>
    </row>
    <row r="28" spans="1:12" x14ac:dyDescent="0.35">
      <c r="A28" s="51"/>
      <c r="B28" s="122"/>
      <c r="C28" s="123"/>
      <c r="D28" s="59"/>
      <c r="E28" s="59"/>
      <c r="F28" s="59"/>
      <c r="G28" s="59"/>
      <c r="H28" s="123"/>
      <c r="I28" s="51"/>
      <c r="J28" s="51"/>
      <c r="K28" s="51"/>
      <c r="L28" s="51"/>
    </row>
    <row r="29" spans="1:12" x14ac:dyDescent="0.35">
      <c r="A29" s="51"/>
      <c r="B29" s="115"/>
      <c r="C29" s="51"/>
      <c r="D29" s="115"/>
      <c r="E29" s="51"/>
      <c r="F29" s="51"/>
      <c r="G29" s="51"/>
      <c r="H29" s="51"/>
      <c r="I29" s="51"/>
      <c r="J29" s="51"/>
      <c r="K29" s="51"/>
      <c r="L29" s="51"/>
    </row>
    <row r="30" spans="1:12" x14ac:dyDescent="0.35">
      <c r="A30" s="51"/>
      <c r="B30" s="51"/>
      <c r="C30" s="51"/>
      <c r="D30" s="51"/>
      <c r="E30" s="51"/>
      <c r="F30" s="51"/>
      <c r="G30" s="51"/>
      <c r="H30" s="51"/>
      <c r="I30" s="90"/>
      <c r="J30" s="90"/>
      <c r="K30" s="90"/>
      <c r="L30" s="90"/>
    </row>
    <row r="31" spans="1:12" x14ac:dyDescent="0.35">
      <c r="A31" s="51"/>
      <c r="B31" s="51"/>
      <c r="C31" s="51"/>
      <c r="D31" s="51"/>
      <c r="E31" s="51"/>
      <c r="F31" s="51"/>
      <c r="G31" s="51"/>
      <c r="H31" s="51"/>
      <c r="I31" s="90"/>
      <c r="J31" s="90"/>
      <c r="K31" s="90"/>
      <c r="L31" s="90"/>
    </row>
    <row r="32" spans="1:12" x14ac:dyDescent="0.35">
      <c r="A32" s="52" t="s">
        <v>36</v>
      </c>
      <c r="B32" s="52" t="s">
        <v>79</v>
      </c>
    </row>
  </sheetData>
  <phoneticPr fontId="1" type="noConversion"/>
  <printOptions horizontalCentered="1"/>
  <pageMargins left="0.29527559055118113" right="0.29527559055118113" top="0.31496062992125984" bottom="0.31496062992125984" header="0.31496062992125984" footer="0"/>
  <pageSetup paperSize="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CCA9C-2754-459A-AFE0-A929839820BA}">
  <sheetPr>
    <tabColor theme="4"/>
  </sheetPr>
  <dimension ref="A1:AS39"/>
  <sheetViews>
    <sheetView showGridLines="0" view="pageBreakPreview" zoomScaleNormal="100" zoomScaleSheetLayoutView="100" workbookViewId="0">
      <pane xSplit="3" ySplit="4" topLeftCell="H5" activePane="bottomRight" state="frozen"/>
      <selection activeCell="I22" sqref="I22"/>
      <selection pane="topRight" activeCell="I22" sqref="I22"/>
      <selection pane="bottomLeft" activeCell="I22" sqref="I22"/>
      <selection pane="bottomRight" activeCell="B4" sqref="B4"/>
    </sheetView>
  </sheetViews>
  <sheetFormatPr defaultRowHeight="13.5" outlineLevelCol="1" x14ac:dyDescent="0.35"/>
  <cols>
    <col min="1" max="1" width="2.53125" style="14" customWidth="1"/>
    <col min="2" max="2" width="27.46484375" style="14" customWidth="1"/>
    <col min="3" max="3" width="8.86328125" style="15" customWidth="1"/>
    <col min="4" max="6" width="9.06640625" style="14" hidden="1" customWidth="1" outlineLevel="1"/>
    <col min="7" max="7" width="9.1328125" style="14" hidden="1" customWidth="1" outlineLevel="1"/>
    <col min="8" max="8" width="9.06640625" style="14" customWidth="1" collapsed="1"/>
    <col min="9" max="12" width="9.06640625" style="14" hidden="1" customWidth="1" outlineLevel="1"/>
    <col min="13" max="13" width="9.1328125" style="14" customWidth="1" collapsed="1"/>
    <col min="14" max="17" width="9.06640625" style="14" hidden="1" customWidth="1" outlineLevel="1"/>
    <col min="18" max="18" width="9.1328125" style="14" bestFit="1" customWidth="1" collapsed="1"/>
    <col min="19" max="22" width="9.06640625" style="14" hidden="1" customWidth="1" outlineLevel="1"/>
    <col min="23" max="23" width="9.1328125" style="14" bestFit="1" customWidth="1" collapsed="1"/>
    <col min="24" max="27" width="9.06640625" style="14" hidden="1" customWidth="1" outlineLevel="1"/>
    <col min="28" max="28" width="9.1328125" style="14" bestFit="1" customWidth="1" collapsed="1"/>
    <col min="29" max="32" width="9.06640625" style="14" customWidth="1" outlineLevel="1"/>
    <col min="33" max="33" width="9.796875" style="14" bestFit="1" customWidth="1"/>
    <col min="34" max="37" width="9.06640625" style="14" customWidth="1" outlineLevel="1"/>
    <col min="38" max="38" width="9.06640625" style="14"/>
    <col min="39" max="39" width="2.265625" style="14" customWidth="1"/>
    <col min="40" max="40" width="2.53125" style="14" customWidth="1"/>
    <col min="41" max="41" width="9.06640625" style="14" customWidth="1"/>
    <col min="42" max="16384" width="9.06640625" style="14"/>
  </cols>
  <sheetData>
    <row r="1" spans="1:45" s="6" customFormat="1" ht="17.649999999999999" x14ac:dyDescent="0.5">
      <c r="A1" s="1"/>
      <c r="B1" s="2" t="str">
        <f>Name</f>
        <v>Natera</v>
      </c>
      <c r="C1" s="11"/>
      <c r="D1" s="3"/>
      <c r="E1" s="3"/>
      <c r="F1" s="3"/>
      <c r="G1" s="3"/>
      <c r="H1" s="4"/>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25"/>
      <c r="AO1" s="5"/>
    </row>
    <row r="2" spans="1:45" s="6" customFormat="1" ht="17.649999999999999" x14ac:dyDescent="0.5">
      <c r="A2" s="7"/>
      <c r="B2" s="8" t="s">
        <v>35</v>
      </c>
      <c r="C2" s="12"/>
    </row>
    <row r="3" spans="1:45" s="6" customFormat="1" ht="12.75" customHeight="1" x14ac:dyDescent="0.35">
      <c r="B3" s="220"/>
      <c r="C3" s="55"/>
      <c r="D3" s="56" t="s">
        <v>2</v>
      </c>
      <c r="E3" s="56" t="s">
        <v>3</v>
      </c>
      <c r="F3" s="56" t="s">
        <v>4</v>
      </c>
      <c r="G3" s="56" t="s">
        <v>5</v>
      </c>
      <c r="H3" s="57">
        <v>2019</v>
      </c>
      <c r="I3" s="56" t="s">
        <v>7</v>
      </c>
      <c r="J3" s="56" t="s">
        <v>8</v>
      </c>
      <c r="K3" s="56" t="s">
        <v>9</v>
      </c>
      <c r="L3" s="56" t="s">
        <v>10</v>
      </c>
      <c r="M3" s="57">
        <v>2020</v>
      </c>
      <c r="N3" s="56" t="s">
        <v>23</v>
      </c>
      <c r="O3" s="56" t="s">
        <v>24</v>
      </c>
      <c r="P3" s="56" t="s">
        <v>25</v>
      </c>
      <c r="Q3" s="56" t="s">
        <v>26</v>
      </c>
      <c r="R3" s="57">
        <v>2021</v>
      </c>
      <c r="S3" s="56" t="s">
        <v>27</v>
      </c>
      <c r="T3" s="56" t="s">
        <v>28</v>
      </c>
      <c r="U3" s="56" t="s">
        <v>29</v>
      </c>
      <c r="V3" s="56" t="s">
        <v>30</v>
      </c>
      <c r="W3" s="57">
        <v>2022</v>
      </c>
      <c r="X3" s="56" t="s">
        <v>15</v>
      </c>
      <c r="Y3" s="56" t="s">
        <v>16</v>
      </c>
      <c r="Z3" s="56" t="s">
        <v>17</v>
      </c>
      <c r="AA3" s="56" t="s">
        <v>18</v>
      </c>
      <c r="AB3" s="57">
        <v>2023</v>
      </c>
      <c r="AC3" s="56" t="s">
        <v>11</v>
      </c>
      <c r="AD3" s="56" t="s">
        <v>12</v>
      </c>
      <c r="AE3" s="56" t="s">
        <v>13</v>
      </c>
      <c r="AF3" s="56" t="s">
        <v>14</v>
      </c>
      <c r="AG3" s="57">
        <v>2024</v>
      </c>
      <c r="AH3" s="56" t="s">
        <v>19</v>
      </c>
      <c r="AI3" s="56" t="s">
        <v>20</v>
      </c>
      <c r="AJ3" s="56" t="s">
        <v>21</v>
      </c>
      <c r="AK3" s="56" t="s">
        <v>22</v>
      </c>
      <c r="AL3" s="57">
        <v>2025</v>
      </c>
      <c r="AM3" s="81"/>
      <c r="AN3" s="82"/>
      <c r="AO3" s="259" t="s">
        <v>226</v>
      </c>
      <c r="AP3" s="51"/>
      <c r="AQ3" s="51"/>
      <c r="AR3" s="51"/>
      <c r="AS3" s="51"/>
    </row>
    <row r="4" spans="1:45" s="16" customFormat="1" ht="12.75" customHeight="1" x14ac:dyDescent="0.35">
      <c r="B4" s="221" t="str">
        <f>Subheader</f>
        <v>$ in millions, except test volumes, TAM, and per share amounts</v>
      </c>
      <c r="C4" s="61"/>
      <c r="D4" s="62" t="s">
        <v>1</v>
      </c>
      <c r="E4" s="62" t="s">
        <v>1</v>
      </c>
      <c r="F4" s="62" t="s">
        <v>1</v>
      </c>
      <c r="G4" s="62" t="s">
        <v>1</v>
      </c>
      <c r="H4" s="63" t="s">
        <v>1</v>
      </c>
      <c r="I4" s="62" t="s">
        <v>1</v>
      </c>
      <c r="J4" s="62" t="s">
        <v>1</v>
      </c>
      <c r="K4" s="62" t="s">
        <v>1</v>
      </c>
      <c r="L4" s="62" t="s">
        <v>1</v>
      </c>
      <c r="M4" s="63" t="s">
        <v>1</v>
      </c>
      <c r="N4" s="62" t="s">
        <v>1</v>
      </c>
      <c r="O4" s="62" t="s">
        <v>1</v>
      </c>
      <c r="P4" s="62" t="s">
        <v>1</v>
      </c>
      <c r="Q4" s="62" t="s">
        <v>1</v>
      </c>
      <c r="R4" s="63" t="s">
        <v>1</v>
      </c>
      <c r="S4" s="62" t="s">
        <v>1</v>
      </c>
      <c r="T4" s="62" t="s">
        <v>1</v>
      </c>
      <c r="U4" s="62" t="s">
        <v>1</v>
      </c>
      <c r="V4" s="62" t="s">
        <v>1</v>
      </c>
      <c r="W4" s="63" t="s">
        <v>1</v>
      </c>
      <c r="X4" s="62" t="s">
        <v>1</v>
      </c>
      <c r="Y4" s="62" t="s">
        <v>1</v>
      </c>
      <c r="Z4" s="62" t="s">
        <v>1</v>
      </c>
      <c r="AA4" s="62" t="s">
        <v>1</v>
      </c>
      <c r="AB4" s="63" t="s">
        <v>1</v>
      </c>
      <c r="AC4" s="62" t="s">
        <v>1</v>
      </c>
      <c r="AD4" s="62" t="s">
        <v>6</v>
      </c>
      <c r="AE4" s="62" t="s">
        <v>6</v>
      </c>
      <c r="AF4" s="62" t="s">
        <v>6</v>
      </c>
      <c r="AG4" s="63" t="s">
        <v>6</v>
      </c>
      <c r="AH4" s="62" t="s">
        <v>6</v>
      </c>
      <c r="AI4" s="62" t="s">
        <v>6</v>
      </c>
      <c r="AJ4" s="62" t="s">
        <v>6</v>
      </c>
      <c r="AK4" s="62" t="s">
        <v>6</v>
      </c>
      <c r="AL4" s="63" t="s">
        <v>6</v>
      </c>
      <c r="AM4" s="81"/>
      <c r="AN4" s="84"/>
      <c r="AO4" s="83"/>
      <c r="AP4" s="59"/>
      <c r="AQ4" s="59"/>
      <c r="AR4" s="59"/>
      <c r="AS4" s="59"/>
    </row>
    <row r="5" spans="1:45" ht="14.65" customHeight="1" x14ac:dyDescent="0.35">
      <c r="B5" s="222" t="s">
        <v>37</v>
      </c>
      <c r="C5" s="53"/>
      <c r="D5" s="78">
        <v>63.363999999999997</v>
      </c>
      <c r="E5" s="78">
        <v>65.099000000000004</v>
      </c>
      <c r="F5" s="78">
        <v>66.936000000000007</v>
      </c>
      <c r="G5" s="73">
        <f>H5-SUM(D5:F5)</f>
        <v>74.500999999999976</v>
      </c>
      <c r="H5" s="74">
        <v>269.89999999999998</v>
      </c>
      <c r="I5" s="78">
        <v>87.046000000000006</v>
      </c>
      <c r="J5" s="78">
        <v>80.414000000000001</v>
      </c>
      <c r="K5" s="78">
        <v>93.286000000000001</v>
      </c>
      <c r="L5" s="73">
        <f>M5-SUM(I5:K5)</f>
        <v>106.45400000000001</v>
      </c>
      <c r="M5" s="74">
        <v>367.2</v>
      </c>
      <c r="N5" s="78">
        <v>118.38200000000001</v>
      </c>
      <c r="O5" s="78">
        <v>137.232</v>
      </c>
      <c r="P5" s="78">
        <v>150.65100000000001</v>
      </c>
      <c r="Q5" s="73">
        <f>R5-SUM(N5:P5)</f>
        <v>160.88400000000001</v>
      </c>
      <c r="R5" s="74">
        <v>567.149</v>
      </c>
      <c r="S5" s="78">
        <v>190.00200000000001</v>
      </c>
      <c r="T5" s="78">
        <v>194.58199999999999</v>
      </c>
      <c r="U5" s="78">
        <v>199.83099999999999</v>
      </c>
      <c r="V5" s="73">
        <f>W5-SUM(S5:U5)</f>
        <v>212.89200000000005</v>
      </c>
      <c r="W5" s="74">
        <v>797.30700000000002</v>
      </c>
      <c r="X5" s="78">
        <v>237.797</v>
      </c>
      <c r="Y5" s="78">
        <v>258.25599999999997</v>
      </c>
      <c r="Z5" s="78">
        <v>265.21800000000002</v>
      </c>
      <c r="AA5" s="73">
        <f>1068.522-SUM(X5:Z5)</f>
        <v>307.25099999999998</v>
      </c>
      <c r="AB5" s="74">
        <f>SUM(X5:AA5)</f>
        <v>1068.5219999999999</v>
      </c>
      <c r="AC5" s="78">
        <v>364.67200000000003</v>
      </c>
      <c r="AD5" s="129">
        <f>'Revenue Buildup'!AD5</f>
        <v>371.24299999999999</v>
      </c>
      <c r="AE5" s="129">
        <f>'Revenue Buildup'!AE5</f>
        <v>350.64471780000002</v>
      </c>
      <c r="AF5" s="129">
        <f>'Revenue Buildup'!AF5</f>
        <v>371.00558250000006</v>
      </c>
      <c r="AG5" s="74">
        <f>SUM(AC5:AF5)</f>
        <v>1457.5653003000002</v>
      </c>
      <c r="AH5" s="129">
        <f>'Revenue Buildup'!AH5</f>
        <v>472.61491200000012</v>
      </c>
      <c r="AI5" s="129">
        <f>'Revenue Buildup'!AI5</f>
        <v>461.08380599999992</v>
      </c>
      <c r="AJ5" s="129">
        <f>'Revenue Buildup'!AJ5</f>
        <v>435.50073950759992</v>
      </c>
      <c r="AK5" s="129">
        <f>'Revenue Buildup'!AK5</f>
        <v>452.77521288299999</v>
      </c>
      <c r="AL5" s="74">
        <f>SUM(AH5:AK5)</f>
        <v>1821.9746703906001</v>
      </c>
      <c r="AM5" s="73"/>
      <c r="AN5" s="51"/>
      <c r="AO5" s="51"/>
      <c r="AP5" s="51"/>
      <c r="AQ5" s="51"/>
      <c r="AR5" s="51"/>
      <c r="AS5" s="51"/>
    </row>
    <row r="6" spans="1:45" s="26" customFormat="1" ht="13.9" x14ac:dyDescent="0.4">
      <c r="B6" s="175" t="s">
        <v>47</v>
      </c>
      <c r="C6" s="66"/>
      <c r="D6" s="418" t="s">
        <v>77</v>
      </c>
      <c r="E6" s="419"/>
      <c r="F6" s="419"/>
      <c r="G6" s="419"/>
      <c r="H6" s="134" t="str">
        <f>+"NA"</f>
        <v>NA</v>
      </c>
      <c r="I6" s="69">
        <f>IF(ISERROR(+I5/D5-1),"NA ",(+I5/D5-1))</f>
        <v>0.37374534435957352</v>
      </c>
      <c r="J6" s="69">
        <f t="shared" ref="J6:L6" si="0">IF(ISERROR(+J5/E5-1),"NA ",(+J5/E5-1))</f>
        <v>0.23525707000107521</v>
      </c>
      <c r="K6" s="69">
        <f t="shared" si="0"/>
        <v>0.39365961515477466</v>
      </c>
      <c r="L6" s="69">
        <f t="shared" si="0"/>
        <v>0.42889357189836441</v>
      </c>
      <c r="M6" s="68">
        <f>IF(ISERROR(+M5/H5-1),"NA",(+M5/H5-1))</f>
        <v>0.36050389032975194</v>
      </c>
      <c r="N6" s="69">
        <f t="shared" ref="N6" si="1">IF(ISERROR(+N5/I5-1),"NA ",(+N5/I5-1))</f>
        <v>0.35999356661994808</v>
      </c>
      <c r="O6" s="69">
        <f t="shared" ref="O6" si="2">IF(ISERROR(+O5/J5-1),"NA ",(+O5/J5-1))</f>
        <v>0.7065685079712487</v>
      </c>
      <c r="P6" s="69">
        <f t="shared" ref="P6" si="3">IF(ISERROR(+P5/K5-1),"NA ",(+P5/K5-1))</f>
        <v>0.61493686083656729</v>
      </c>
      <c r="Q6" s="69">
        <f t="shared" ref="Q6" si="4">IF(ISERROR(+Q5/L5-1),"NA ",(+Q5/L5-1))</f>
        <v>0.51130065568226657</v>
      </c>
      <c r="R6" s="68">
        <f t="shared" ref="R6" si="5">IF(ISERROR(+R5/M5-1),"NA",(+R5/M5-1))</f>
        <v>0.5445234204793028</v>
      </c>
      <c r="S6" s="69">
        <f t="shared" ref="S6" si="6">IF(ISERROR(+S5/N5-1),"NA ",(+S5/N5-1))</f>
        <v>0.60499062357452993</v>
      </c>
      <c r="T6" s="69">
        <f t="shared" ref="T6" si="7">IF(ISERROR(+T5/O5-1),"NA ",(+T5/O5-1))</f>
        <v>0.41790544479421698</v>
      </c>
      <c r="U6" s="69">
        <f t="shared" ref="U6" si="8">IF(ISERROR(+U5/P5-1),"NA ",(+U5/P5-1))</f>
        <v>0.32644987421258387</v>
      </c>
      <c r="V6" s="69">
        <f t="shared" ref="V6" si="9">IF(ISERROR(+V5/Q5-1),"NA ",(+V5/Q5-1))</f>
        <v>0.3232639665846202</v>
      </c>
      <c r="W6" s="68">
        <f t="shared" ref="W6" si="10">IF(ISERROR(+W5/R5-1),"NA",(+W5/R5-1))</f>
        <v>0.40581575564798666</v>
      </c>
      <c r="X6" s="69">
        <f t="shared" ref="X6" si="11">IF(ISERROR(+X5/S5-1),"NA ",(+X5/S5-1))</f>
        <v>0.25154998368438219</v>
      </c>
      <c r="Y6" s="69">
        <f t="shared" ref="Y6" si="12">IF(ISERROR(+Y5/T5-1),"NA ",(+Y5/T5-1))</f>
        <v>0.327234790473939</v>
      </c>
      <c r="Z6" s="69">
        <f t="shared" ref="Z6" si="13">IF(ISERROR(+Z5/U5-1),"NA ",(+Z5/U5-1))</f>
        <v>0.32721149371218705</v>
      </c>
      <c r="AA6" s="69">
        <f t="shared" ref="AA6" si="14">IF(ISERROR(+AA5/V5-1),"NA ",(+AA5/V5-1))</f>
        <v>0.44322473366777482</v>
      </c>
      <c r="AB6" s="68">
        <f t="shared" ref="AB6" si="15">IF(ISERROR(+AB5/W5-1),"NA",(+AB5/W5-1))</f>
        <v>0.34016382648089127</v>
      </c>
      <c r="AC6" s="69">
        <f t="shared" ref="AC6" si="16">IF(ISERROR(+AC5/X5-1),"NA ",(+AC5/X5-1))</f>
        <v>0.53354331635807029</v>
      </c>
      <c r="AD6" s="85">
        <f t="shared" ref="AD6" si="17">IF(ISERROR(+AD5/Y5-1),"NA ",(+AD5/Y5-1))</f>
        <v>0.43750000000000022</v>
      </c>
      <c r="AE6" s="85">
        <f t="shared" ref="AE6" si="18">IF(ISERROR(+AE5/Z5-1),"NA ",(+AE5/Z5-1))</f>
        <v>0.32210000000000005</v>
      </c>
      <c r="AF6" s="85">
        <f t="shared" ref="AF6" si="19">IF(ISERROR(+AF5/AA5-1),"NA ",(+AF5/AA5-1))</f>
        <v>0.20750000000000024</v>
      </c>
      <c r="AG6" s="86">
        <f t="shared" ref="AG6" si="20">IF(ISERROR(+AG5/AB5-1),"NA",(+AG5/AB5-1))</f>
        <v>0.36409479664433708</v>
      </c>
      <c r="AH6" s="69">
        <f t="shared" ref="AH6" si="21">IF(ISERROR(+AH5/AC5-1),"NA ",(+AH5/AC5-1))</f>
        <v>0.29600000000000026</v>
      </c>
      <c r="AI6" s="69">
        <f t="shared" ref="AI6" si="22">IF(ISERROR(+AI5/AD5-1),"NA ",(+AI5/AD5-1))</f>
        <v>0.24199999999999977</v>
      </c>
      <c r="AJ6" s="69">
        <f t="shared" ref="AJ6" si="23">IF(ISERROR(+AJ5/AE5-1),"NA ",(+AJ5/AE5-1))</f>
        <v>0.24199999999999977</v>
      </c>
      <c r="AK6" s="69">
        <f t="shared" ref="AK6" si="24">IF(ISERROR(+AK5/AF5-1),"NA ",(+AK5/AF5-1))</f>
        <v>0.22039999999999971</v>
      </c>
      <c r="AL6" s="68">
        <f t="shared" ref="AL6" si="25">IF(ISERROR(+AL5/AG5-1),"NA",(+AL5/AG5-1))</f>
        <v>0.25001238024505401</v>
      </c>
      <c r="AM6" s="87"/>
      <c r="AN6" s="71"/>
      <c r="AO6" s="90"/>
      <c r="AP6" s="71"/>
      <c r="AQ6" s="71"/>
      <c r="AR6" s="71"/>
      <c r="AS6" s="71"/>
    </row>
    <row r="7" spans="1:45" x14ac:dyDescent="0.35">
      <c r="B7" s="189" t="s">
        <v>40</v>
      </c>
      <c r="C7" s="53"/>
      <c r="D7" s="73">
        <v>3.46</v>
      </c>
      <c r="E7" s="73">
        <v>9.2560000000000002</v>
      </c>
      <c r="F7" s="73">
        <v>10.973000000000001</v>
      </c>
      <c r="G7" s="73">
        <f>H7-SUM(D7:F7)</f>
        <v>8.7580000000000027</v>
      </c>
      <c r="H7" s="74">
        <v>32.447000000000003</v>
      </c>
      <c r="I7" s="73">
        <v>6.9660000000000002</v>
      </c>
      <c r="J7" s="73">
        <v>6.0579999999999998</v>
      </c>
      <c r="K7" s="73">
        <v>4.8570000000000002</v>
      </c>
      <c r="L7" s="89">
        <f>M7-SUM(I7:K7)</f>
        <v>5.9130000000000003</v>
      </c>
      <c r="M7" s="74">
        <v>23.794</v>
      </c>
      <c r="N7" s="73">
        <v>33.933999999999997</v>
      </c>
      <c r="O7" s="73">
        <v>4.7939999999999996</v>
      </c>
      <c r="P7" s="73">
        <v>7.4649999999999999</v>
      </c>
      <c r="Q7" s="73">
        <f>R7-SUM(N7:P7)</f>
        <v>12.144000000000005</v>
      </c>
      <c r="R7" s="74">
        <v>58.337000000000003</v>
      </c>
      <c r="S7" s="73">
        <v>4.1310000000000002</v>
      </c>
      <c r="T7" s="73">
        <v>3.6179999999999999</v>
      </c>
      <c r="U7" s="73">
        <v>10.805999999999999</v>
      </c>
      <c r="V7" s="73">
        <f>W7-SUM(S7:U7)</f>
        <v>4.3599999999999994</v>
      </c>
      <c r="W7" s="74">
        <v>22.914999999999999</v>
      </c>
      <c r="X7" s="78">
        <v>3.9590000000000001</v>
      </c>
      <c r="Y7" s="78">
        <v>3.1480000000000001</v>
      </c>
      <c r="Z7" s="78">
        <v>3.0880000000000001</v>
      </c>
      <c r="AA7" s="73">
        <f>14.049-SUM(X7:Z7)</f>
        <v>3.8539999999999992</v>
      </c>
      <c r="AB7" s="74">
        <f>SUM(X7:AA7)</f>
        <v>14.048999999999999</v>
      </c>
      <c r="AC7" s="78">
        <v>3.069</v>
      </c>
      <c r="AD7" s="129">
        <f>'Revenue Buildup'!AD7</f>
        <v>2.4403162414751201</v>
      </c>
      <c r="AE7" s="129">
        <f>'Revenue Buildup'!AE7</f>
        <v>2.3938044960848699</v>
      </c>
      <c r="AF7" s="129">
        <f>'Revenue Buildup'!AF7</f>
        <v>2.9876044455670616</v>
      </c>
      <c r="AG7" s="74">
        <f>SUM(AC7:AF7)</f>
        <v>10.890725183127051</v>
      </c>
      <c r="AH7" s="129">
        <f>'Revenue Buildup'!AH35</f>
        <v>3.2224500000000003</v>
      </c>
      <c r="AI7" s="129">
        <f>'Revenue Buildup'!AI35</f>
        <v>2.5623320535488761</v>
      </c>
      <c r="AJ7" s="129">
        <f>'Revenue Buildup'!AJ35</f>
        <v>2.5134947208891134</v>
      </c>
      <c r="AK7" s="129">
        <f>'Revenue Buildup'!AK35</f>
        <v>3.136984667845415</v>
      </c>
      <c r="AL7" s="74">
        <f>SUM(AH7:AK7)</f>
        <v>11.435261442283405</v>
      </c>
      <c r="AM7" s="73"/>
      <c r="AN7" s="51"/>
      <c r="AO7" s="90"/>
      <c r="AP7" s="51"/>
      <c r="AQ7" s="51"/>
      <c r="AR7" s="51"/>
      <c r="AS7" s="51"/>
    </row>
    <row r="8" spans="1:45" s="26" customFormat="1" ht="13.9" x14ac:dyDescent="0.4">
      <c r="B8" s="175" t="s">
        <v>47</v>
      </c>
      <c r="C8" s="66"/>
      <c r="D8" s="420" t="s">
        <v>77</v>
      </c>
      <c r="E8" s="421"/>
      <c r="F8" s="421"/>
      <c r="G8" s="421"/>
      <c r="H8" s="135" t="str">
        <f>+"NA"</f>
        <v>NA</v>
      </c>
      <c r="I8" s="72">
        <f>IF(ISERROR(+I7/D7-1),"NA ",(+I7/D7-1))</f>
        <v>1.0132947976878612</v>
      </c>
      <c r="J8" s="72">
        <f t="shared" ref="J8" si="26">IF(ISERROR(+J7/E7-1),"NA ",(+J7/E7-1))</f>
        <v>-0.3455056179775281</v>
      </c>
      <c r="K8" s="72">
        <f t="shared" ref="K8" si="27">IF(ISERROR(+K7/F7-1),"NA ",(+K7/F7-1))</f>
        <v>-0.55736808530028248</v>
      </c>
      <c r="L8" s="72">
        <f t="shared" ref="L8" si="28">IF(ISERROR(+L7/G7-1),"NA ",(+L7/G7-1))</f>
        <v>-0.32484585521808651</v>
      </c>
      <c r="M8" s="92">
        <f>IF(ISERROR(+M7/H7-1),"NA",(+M7/H7-1))</f>
        <v>-0.26668104909544799</v>
      </c>
      <c r="N8" s="72">
        <f>IF(ISERROR(+N7/I7-1),"NA ",(+N7/I7-1))</f>
        <v>3.8713752512202122</v>
      </c>
      <c r="O8" s="72">
        <f t="shared" ref="O8" si="29">IF(ISERROR(+O7/J7-1),"NA ",(+O7/J7-1))</f>
        <v>-0.20864971937933319</v>
      </c>
      <c r="P8" s="72">
        <f t="shared" ref="P8" si="30">IF(ISERROR(+P7/K7-1),"NA ",(+P7/K7-1))</f>
        <v>0.53695696932262704</v>
      </c>
      <c r="Q8" s="72">
        <f t="shared" ref="Q8" si="31">IF(ISERROR(+Q7/L7-1),"NA ",(+Q7/L7-1))</f>
        <v>1.0537798072044655</v>
      </c>
      <c r="R8" s="92">
        <f>IF(ISERROR(+R7/M7-1),"NA",(+R7/M7-1))</f>
        <v>1.4517525426578128</v>
      </c>
      <c r="S8" s="69">
        <f>IF(ISERROR(+S7/N7-1),"NA ",(+S7/N7-1))</f>
        <v>-0.87826368833618196</v>
      </c>
      <c r="T8" s="69">
        <f t="shared" ref="T8" si="32">IF(ISERROR(+T7/O7-1),"NA ",(+T7/O7-1))</f>
        <v>-0.24530663329161451</v>
      </c>
      <c r="U8" s="69">
        <f t="shared" ref="U8" si="33">IF(ISERROR(+U7/P7-1),"NA ",(+U7/P7-1))</f>
        <v>0.44755525787006012</v>
      </c>
      <c r="V8" s="69">
        <f t="shared" ref="V8" si="34">IF(ISERROR(+V7/Q7-1),"NA ",(+V7/Q7-1))</f>
        <v>-0.64097496706192381</v>
      </c>
      <c r="W8" s="68">
        <f>IF(ISERROR(+W7/R7-1),"NA",(+W7/R7-1))</f>
        <v>-0.60719611910108506</v>
      </c>
      <c r="X8" s="69">
        <f>IF(ISERROR(+X7/S7-1),"NA ",(+X7/S7-1))</f>
        <v>-4.1636407649479623E-2</v>
      </c>
      <c r="Y8" s="69">
        <f t="shared" ref="Y8" si="35">IF(ISERROR(+Y7/T7-1),"NA ",(+Y7/T7-1))</f>
        <v>-0.12990602542841345</v>
      </c>
      <c r="Z8" s="69">
        <f t="shared" ref="Z8" si="36">IF(ISERROR(+Z7/U7-1),"NA ",(+Z7/U7-1))</f>
        <v>-0.71423283361095691</v>
      </c>
      <c r="AA8" s="69">
        <f t="shared" ref="AA8" si="37">IF(ISERROR(+AA7/V7-1),"NA ",(+AA7/V7-1))</f>
        <v>-0.11605504587155968</v>
      </c>
      <c r="AB8" s="68">
        <f>IF(ISERROR(+AB7/W7-1),"NA",(+AB7/W7-1))</f>
        <v>-0.38690813877372898</v>
      </c>
      <c r="AC8" s="69">
        <f>IF(ISERROR(+AC7/X7-1),"NA ",(+AC7/X7-1))</f>
        <v>-0.22480424349583228</v>
      </c>
      <c r="AD8" s="69">
        <f t="shared" ref="AD8" si="38">IF(ISERROR(+AD7/Y7-1),"NA ",(+AD7/Y7-1))</f>
        <v>-0.22480424349583228</v>
      </c>
      <c r="AE8" s="69">
        <f t="shared" ref="AE8" si="39">IF(ISERROR(+AE7/Z7-1),"NA ",(+AE7/Z7-1))</f>
        <v>-0.22480424349583228</v>
      </c>
      <c r="AF8" s="69">
        <f t="shared" ref="AF8" si="40">IF(ISERROR(+AF7/AA7-1),"NA ",(+AF7/AA7-1))</f>
        <v>-0.22480424349583228</v>
      </c>
      <c r="AG8" s="68">
        <f>IF(ISERROR(+AG7/AB7-1),"NA",(+AG7/AB7-1))</f>
        <v>-0.22480424349583239</v>
      </c>
      <c r="AH8" s="69">
        <f>IF(ISERROR(+AH7/AC7-1),"NA ",(+AH7/AC7-1))</f>
        <v>5.0000000000000044E-2</v>
      </c>
      <c r="AI8" s="69">
        <f t="shared" ref="AI8" si="41">IF(ISERROR(+AI7/AD7-1),"NA ",(+AI7/AD7-1))</f>
        <v>5.0000000000000044E-2</v>
      </c>
      <c r="AJ8" s="69">
        <f t="shared" ref="AJ8" si="42">IF(ISERROR(+AJ7/AE7-1),"NA ",(+AJ7/AE7-1))</f>
        <v>5.0000000000000044E-2</v>
      </c>
      <c r="AK8" s="69">
        <f t="shared" ref="AK8" si="43">IF(ISERROR(+AK7/AF7-1),"NA ",(+AK7/AF7-1))</f>
        <v>5.0000000000000044E-2</v>
      </c>
      <c r="AL8" s="68">
        <f>IF(ISERROR(+AL7/AG7-1),"NA",(+AL7/AG7-1))</f>
        <v>5.0000000000000044E-2</v>
      </c>
      <c r="AM8" s="71"/>
      <c r="AN8" s="71"/>
      <c r="AO8" s="90"/>
      <c r="AP8" s="71"/>
      <c r="AQ8" s="71"/>
      <c r="AR8" s="71"/>
      <c r="AS8" s="71"/>
    </row>
    <row r="9" spans="1:45" x14ac:dyDescent="0.35">
      <c r="A9" s="14" t="s">
        <v>36</v>
      </c>
      <c r="B9" s="52" t="s">
        <v>46</v>
      </c>
      <c r="C9" s="53"/>
      <c r="D9" s="73">
        <f>D5+D7</f>
        <v>66.823999999999998</v>
      </c>
      <c r="E9" s="73">
        <f t="shared" ref="E9:G9" si="44">E5+E7</f>
        <v>74.355000000000004</v>
      </c>
      <c r="F9" s="73">
        <f t="shared" si="44"/>
        <v>77.909000000000006</v>
      </c>
      <c r="G9" s="73">
        <f t="shared" si="44"/>
        <v>83.258999999999986</v>
      </c>
      <c r="H9" s="74">
        <f>SUM(D9:G9)</f>
        <v>302.34699999999998</v>
      </c>
      <c r="I9" s="73">
        <f>+I5+I7</f>
        <v>94.012</v>
      </c>
      <c r="J9" s="73">
        <f t="shared" ref="J9:Q9" si="45">+J5+J7</f>
        <v>86.472000000000008</v>
      </c>
      <c r="K9" s="73">
        <f t="shared" si="45"/>
        <v>98.143000000000001</v>
      </c>
      <c r="L9" s="73">
        <f t="shared" si="45"/>
        <v>112.367</v>
      </c>
      <c r="M9" s="74">
        <f>SUM(I9:L9)</f>
        <v>390.99400000000003</v>
      </c>
      <c r="N9" s="73">
        <f>+N5+N7</f>
        <v>152.316</v>
      </c>
      <c r="O9" s="73">
        <f t="shared" si="45"/>
        <v>142.02600000000001</v>
      </c>
      <c r="P9" s="73">
        <f t="shared" si="45"/>
        <v>158.11600000000001</v>
      </c>
      <c r="Q9" s="73">
        <f t="shared" si="45"/>
        <v>173.02800000000002</v>
      </c>
      <c r="R9" s="74">
        <f>SUM(N9:Q9)</f>
        <v>625.48599999999999</v>
      </c>
      <c r="S9" s="73">
        <f t="shared" ref="S9:AK9" si="46">+S5+S7</f>
        <v>194.13300000000001</v>
      </c>
      <c r="T9" s="73">
        <f t="shared" si="46"/>
        <v>198.2</v>
      </c>
      <c r="U9" s="73">
        <f t="shared" si="46"/>
        <v>210.637</v>
      </c>
      <c r="V9" s="73">
        <f t="shared" si="46"/>
        <v>217.25200000000007</v>
      </c>
      <c r="W9" s="74">
        <f t="shared" ref="W9" si="47">SUM(S9:V9)</f>
        <v>820.22200000000009</v>
      </c>
      <c r="X9" s="73">
        <f t="shared" ref="X9" si="48">+X5+X7</f>
        <v>241.756</v>
      </c>
      <c r="Y9" s="73">
        <f t="shared" si="46"/>
        <v>261.404</v>
      </c>
      <c r="Z9" s="73">
        <f t="shared" si="46"/>
        <v>268.30600000000004</v>
      </c>
      <c r="AA9" s="73">
        <f t="shared" si="46"/>
        <v>311.10499999999996</v>
      </c>
      <c r="AB9" s="74">
        <f t="shared" ref="AB9" si="49">SUM(X9:AA9)</f>
        <v>1082.5709999999999</v>
      </c>
      <c r="AC9" s="73">
        <f>+AC5+AC7</f>
        <v>367.74100000000004</v>
      </c>
      <c r="AD9" s="73">
        <f t="shared" si="46"/>
        <v>373.6833162414751</v>
      </c>
      <c r="AE9" s="73">
        <f t="shared" si="46"/>
        <v>353.03852229608492</v>
      </c>
      <c r="AF9" s="73">
        <f t="shared" si="46"/>
        <v>373.99318694556712</v>
      </c>
      <c r="AG9" s="74">
        <f t="shared" ref="AG9" si="50">SUM(AC9:AF9)</f>
        <v>1468.4560254831272</v>
      </c>
      <c r="AH9" s="73">
        <f t="shared" ref="AH9" si="51">+AH5+AH7</f>
        <v>475.8373620000001</v>
      </c>
      <c r="AI9" s="73">
        <f t="shared" si="46"/>
        <v>463.64613805354878</v>
      </c>
      <c r="AJ9" s="73">
        <f t="shared" si="46"/>
        <v>438.01423422848904</v>
      </c>
      <c r="AK9" s="73">
        <f t="shared" si="46"/>
        <v>455.91219755084541</v>
      </c>
      <c r="AL9" s="74">
        <f t="shared" ref="AL9" si="52">SUM(AH9:AK9)</f>
        <v>1833.4099318328833</v>
      </c>
      <c r="AM9" s="73"/>
      <c r="AN9" s="51"/>
      <c r="AO9" s="90"/>
      <c r="AP9" s="51"/>
      <c r="AQ9" s="51"/>
      <c r="AR9" s="51"/>
      <c r="AS9" s="51"/>
    </row>
    <row r="10" spans="1:45" x14ac:dyDescent="0.35">
      <c r="B10" s="51" t="s">
        <v>42</v>
      </c>
      <c r="C10" s="53"/>
      <c r="D10" s="93">
        <f>41.605+1.698</f>
        <v>43.302999999999997</v>
      </c>
      <c r="E10" s="93">
        <f>41.382+2.443</f>
        <v>43.824999999999996</v>
      </c>
      <c r="F10" s="93">
        <f>41.638+2.242</f>
        <v>43.879999999999995</v>
      </c>
      <c r="G10" s="93">
        <f>H10-SUM(D10:F10)</f>
        <v>44.462000000000046</v>
      </c>
      <c r="H10" s="94">
        <f>162.604+12.866</f>
        <v>175.47000000000003</v>
      </c>
      <c r="I10" s="93">
        <f>41.52+3.458</f>
        <v>44.978000000000002</v>
      </c>
      <c r="J10" s="93">
        <f>42.731+4.208</f>
        <v>46.939</v>
      </c>
      <c r="K10" s="93">
        <f>46.873+4.948</f>
        <v>51.820999999999998</v>
      </c>
      <c r="L10" s="93">
        <f>M10-SUM(I10:K10)</f>
        <v>59.882000000000005</v>
      </c>
      <c r="M10" s="94">
        <f>185.865+17.755</f>
        <v>203.62</v>
      </c>
      <c r="N10" s="93">
        <f>61.322+5.491</f>
        <v>66.813000000000002</v>
      </c>
      <c r="O10" s="93">
        <f>73.227+2.885</f>
        <v>76.112000000000009</v>
      </c>
      <c r="P10" s="93">
        <f>76.838+4.533</f>
        <v>81.370999999999995</v>
      </c>
      <c r="Q10" s="93">
        <f>R10-SUM(N10:P10)</f>
        <v>94.122000000000014</v>
      </c>
      <c r="R10" s="94">
        <f>302.663+15.755</f>
        <v>318.41800000000001</v>
      </c>
      <c r="S10" s="93">
        <f>102.67+0.545</f>
        <v>103.215</v>
      </c>
      <c r="T10" s="93">
        <f>108.756+0.481</f>
        <v>109.23699999999999</v>
      </c>
      <c r="U10" s="93">
        <f>115.436+1.076</f>
        <v>116.512</v>
      </c>
      <c r="V10" s="93">
        <f>W10-SUM(S10:U10)</f>
        <v>127.29200000000003</v>
      </c>
      <c r="W10" s="94">
        <f>453.632+2.624</f>
        <v>456.25600000000003</v>
      </c>
      <c r="X10" s="97">
        <f>147.754+0.37</f>
        <v>148.124</v>
      </c>
      <c r="Y10" s="97">
        <f>142.808+0.341</f>
        <v>143.149</v>
      </c>
      <c r="Z10" s="97">
        <f>146.962+0.349</f>
        <v>147.31099999999998</v>
      </c>
      <c r="AA10" s="93">
        <f>588.564+1.267-SUM(X10:Z10)</f>
        <v>151.24700000000001</v>
      </c>
      <c r="AB10" s="94">
        <f>SUM(X10:AA10)</f>
        <v>589.83100000000002</v>
      </c>
      <c r="AC10" s="97">
        <f>158.833+0.307</f>
        <v>159.13999999999999</v>
      </c>
      <c r="AD10" s="137">
        <f>'Revenue Buildup'!AD25+'Revenue Buildup'!AD38</f>
        <v>163.69099183783783</v>
      </c>
      <c r="AE10" s="137">
        <f>'Revenue Buildup'!AE25+'Revenue Buildup'!AE38</f>
        <v>162.20495917567567</v>
      </c>
      <c r="AF10" s="137">
        <f>'Revenue Buildup'!AF25+'Revenue Buildup'!AF38</f>
        <v>165.18295405405399</v>
      </c>
      <c r="AG10" s="94">
        <f>SUM(AC10:AF10)</f>
        <v>650.21890506756745</v>
      </c>
      <c r="AH10" s="137">
        <f>'Revenue Buildup'!AH25+'Revenue Buildup'!AH38</f>
        <v>200.45193</v>
      </c>
      <c r="AI10" s="137">
        <f>'Revenue Buildup'!AI25+'Revenue Buildup'!AI38</f>
        <v>186.33715420872969</v>
      </c>
      <c r="AJ10" s="137">
        <f>'Revenue Buildup'!AJ25+'Revenue Buildup'!AJ38</f>
        <v>184.64471857420938</v>
      </c>
      <c r="AK10" s="137">
        <f>'Revenue Buildup'!AK25+'Revenue Buildup'!AK38</f>
        <v>184.77837119675667</v>
      </c>
      <c r="AL10" s="94">
        <f>SUM(AH10:AK10)</f>
        <v>756.21217397969576</v>
      </c>
      <c r="AM10" s="93"/>
      <c r="AN10" s="51"/>
      <c r="AO10" s="90"/>
      <c r="AP10" s="51"/>
      <c r="AQ10" s="51"/>
      <c r="AR10" s="51"/>
      <c r="AS10" s="51"/>
    </row>
    <row r="11" spans="1:45" x14ac:dyDescent="0.35">
      <c r="A11" s="14" t="s">
        <v>36</v>
      </c>
      <c r="B11" s="52" t="s">
        <v>43</v>
      </c>
      <c r="C11" s="76"/>
      <c r="D11" s="73">
        <f>D9-D10</f>
        <v>23.521000000000001</v>
      </c>
      <c r="E11" s="73">
        <f t="shared" ref="E11:G11" si="53">E9-E10</f>
        <v>30.530000000000008</v>
      </c>
      <c r="F11" s="73">
        <f t="shared" si="53"/>
        <v>34.029000000000011</v>
      </c>
      <c r="G11" s="73">
        <f t="shared" si="53"/>
        <v>38.79699999999994</v>
      </c>
      <c r="H11" s="74">
        <f>SUM(D11:G11)</f>
        <v>126.87699999999995</v>
      </c>
      <c r="I11" s="73">
        <f>I9-I10</f>
        <v>49.033999999999999</v>
      </c>
      <c r="J11" s="73">
        <f t="shared" ref="J11" si="54">J9-J10</f>
        <v>39.533000000000008</v>
      </c>
      <c r="K11" s="73">
        <f t="shared" ref="K11" si="55">K9-K10</f>
        <v>46.322000000000003</v>
      </c>
      <c r="L11" s="73">
        <f t="shared" ref="L11" si="56">L9-L10</f>
        <v>52.484999999999999</v>
      </c>
      <c r="M11" s="74">
        <f>SUM(I11:L11)</f>
        <v>187.37400000000002</v>
      </c>
      <c r="N11" s="73">
        <f>N9-N10</f>
        <v>85.503</v>
      </c>
      <c r="O11" s="73">
        <f t="shared" ref="O11" si="57">O9-O10</f>
        <v>65.914000000000001</v>
      </c>
      <c r="P11" s="73">
        <f t="shared" ref="P11" si="58">P9-P10</f>
        <v>76.745000000000019</v>
      </c>
      <c r="Q11" s="73">
        <f t="shared" ref="Q11" si="59">Q9-Q10</f>
        <v>78.906000000000006</v>
      </c>
      <c r="R11" s="74">
        <f>SUM(N11:Q11)</f>
        <v>307.06800000000004</v>
      </c>
      <c r="S11" s="73">
        <f>S9-S10</f>
        <v>90.918000000000006</v>
      </c>
      <c r="T11" s="73">
        <f t="shared" ref="T11" si="60">T9-T10</f>
        <v>88.962999999999994</v>
      </c>
      <c r="U11" s="73">
        <f t="shared" ref="U11" si="61">U9-U10</f>
        <v>94.125</v>
      </c>
      <c r="V11" s="73">
        <f t="shared" ref="V11" si="62">V9-V10</f>
        <v>89.960000000000036</v>
      </c>
      <c r="W11" s="74">
        <f>SUM(S11:V11)</f>
        <v>363.96600000000001</v>
      </c>
      <c r="X11" s="95">
        <f>X9-X10</f>
        <v>93.632000000000005</v>
      </c>
      <c r="Y11" s="95">
        <f t="shared" ref="Y11" si="63">Y9-Y10</f>
        <v>118.255</v>
      </c>
      <c r="Z11" s="95">
        <f t="shared" ref="Z11" si="64">Z9-Z10</f>
        <v>120.99500000000006</v>
      </c>
      <c r="AA11" s="95">
        <f t="shared" ref="AA11" si="65">AA9-AA10</f>
        <v>159.85799999999995</v>
      </c>
      <c r="AB11" s="96">
        <f>SUM(X11:AA11)</f>
        <v>492.74</v>
      </c>
      <c r="AC11" s="73">
        <f>AC9-AC10</f>
        <v>208.60100000000006</v>
      </c>
      <c r="AD11" s="73">
        <f t="shared" ref="AD11:AF11" si="66">AD9-AD10</f>
        <v>209.99232440363727</v>
      </c>
      <c r="AE11" s="73">
        <f t="shared" si="66"/>
        <v>190.83356312040925</v>
      </c>
      <c r="AF11" s="73">
        <f t="shared" si="66"/>
        <v>208.81023289151312</v>
      </c>
      <c r="AG11" s="74">
        <f>SUM(AC11:AF11)</f>
        <v>818.23712041555973</v>
      </c>
      <c r="AH11" s="73">
        <f>AH9-AH10</f>
        <v>275.38543200000009</v>
      </c>
      <c r="AI11" s="73">
        <f t="shared" ref="AI11:AK11" si="67">AI9-AI10</f>
        <v>277.30898384481907</v>
      </c>
      <c r="AJ11" s="73">
        <f t="shared" si="67"/>
        <v>253.36951565427967</v>
      </c>
      <c r="AK11" s="73">
        <f t="shared" si="67"/>
        <v>271.13382635408874</v>
      </c>
      <c r="AL11" s="96">
        <f>SUM(AH11:AK11)</f>
        <v>1077.1977578531876</v>
      </c>
      <c r="AM11" s="73"/>
      <c r="AN11" s="51"/>
      <c r="AO11" s="90"/>
      <c r="AP11" s="51"/>
      <c r="AQ11" s="51"/>
      <c r="AR11" s="51"/>
      <c r="AS11" s="51"/>
    </row>
    <row r="12" spans="1:45" x14ac:dyDescent="0.35">
      <c r="B12" s="51"/>
      <c r="C12" s="53"/>
      <c r="D12" s="93"/>
      <c r="E12" s="93"/>
      <c r="F12" s="93"/>
      <c r="G12" s="93"/>
      <c r="H12" s="94"/>
      <c r="I12" s="93"/>
      <c r="J12" s="93"/>
      <c r="K12" s="93"/>
      <c r="L12" s="93"/>
      <c r="M12" s="94"/>
      <c r="N12" s="93"/>
      <c r="O12" s="93"/>
      <c r="P12" s="93"/>
      <c r="Q12" s="93"/>
      <c r="R12" s="94"/>
      <c r="S12" s="93"/>
      <c r="T12" s="93"/>
      <c r="U12" s="93"/>
      <c r="V12" s="93"/>
      <c r="W12" s="94"/>
      <c r="X12" s="93"/>
      <c r="Y12" s="93"/>
      <c r="Z12" s="93"/>
      <c r="AA12" s="93"/>
      <c r="AB12" s="94"/>
      <c r="AC12" s="93"/>
      <c r="AD12" s="93"/>
      <c r="AE12" s="93"/>
      <c r="AF12" s="93"/>
      <c r="AG12" s="94"/>
      <c r="AH12" s="93"/>
      <c r="AI12" s="93"/>
      <c r="AJ12" s="93"/>
      <c r="AK12" s="93"/>
      <c r="AL12" s="94"/>
      <c r="AM12" s="93"/>
      <c r="AN12" s="51"/>
      <c r="AO12" s="90"/>
      <c r="AP12" s="51"/>
      <c r="AQ12" s="51"/>
      <c r="AR12" s="51"/>
      <c r="AS12" s="51"/>
    </row>
    <row r="13" spans="1:45" s="21" customFormat="1" x14ac:dyDescent="0.35">
      <c r="A13" s="14"/>
      <c r="B13" s="51" t="s">
        <v>44</v>
      </c>
      <c r="C13" s="53"/>
      <c r="D13" s="97">
        <v>43.832000000000001</v>
      </c>
      <c r="E13" s="97">
        <v>47.042000000000002</v>
      </c>
      <c r="F13" s="97">
        <v>56.715000000000003</v>
      </c>
      <c r="G13" s="97">
        <f>206.176-SUM(D13:F13)</f>
        <v>58.586999999999989</v>
      </c>
      <c r="H13" s="131">
        <f>SUM(D13:G13)</f>
        <v>206.17599999999999</v>
      </c>
      <c r="I13" s="97">
        <v>65.680999999999997</v>
      </c>
      <c r="J13" s="97">
        <v>68.188000000000002</v>
      </c>
      <c r="K13" s="97">
        <v>75.677999999999997</v>
      </c>
      <c r="L13" s="93">
        <f>M13-SUM(I13:K13)</f>
        <v>94.080000000000013</v>
      </c>
      <c r="M13" s="131">
        <v>303.62700000000001</v>
      </c>
      <c r="N13" s="97">
        <v>108.33199999999999</v>
      </c>
      <c r="O13" s="97">
        <v>127.456</v>
      </c>
      <c r="P13" s="97">
        <v>128.48500000000001</v>
      </c>
      <c r="Q13" s="97">
        <f>511.034-SUM(N13:P13)</f>
        <v>146.76099999999997</v>
      </c>
      <c r="R13" s="131">
        <f>SUM(N13:Q13)</f>
        <v>511.03399999999999</v>
      </c>
      <c r="S13" s="97">
        <v>147.63399999999999</v>
      </c>
      <c r="T13" s="97">
        <v>149.46799999999999</v>
      </c>
      <c r="U13" s="97">
        <v>147.667</v>
      </c>
      <c r="V13" s="97">
        <f>588.591-SUM(S13:U13)</f>
        <v>143.822</v>
      </c>
      <c r="W13" s="94">
        <f>SUM(S13:V13)</f>
        <v>588.59100000000001</v>
      </c>
      <c r="X13" s="97">
        <v>149.62700000000001</v>
      </c>
      <c r="Y13" s="97">
        <v>152.50800000000001</v>
      </c>
      <c r="Z13" s="97">
        <v>154.74199999999999</v>
      </c>
      <c r="AA13" s="97">
        <f>618.3-SUM(X13:Z13)</f>
        <v>161.423</v>
      </c>
      <c r="AB13" s="94">
        <f>SUM(X13:AA13)</f>
        <v>618.29999999999995</v>
      </c>
      <c r="AC13" s="97">
        <v>194.27799999999999</v>
      </c>
      <c r="AD13" s="93">
        <f>AD9*AD32</f>
        <v>205.52582393281131</v>
      </c>
      <c r="AE13" s="93">
        <f t="shared" ref="AE13:AF13" si="68">AE9*AE32</f>
        <v>180.04964637100332</v>
      </c>
      <c r="AF13" s="93">
        <f t="shared" si="68"/>
        <v>175.77679786441652</v>
      </c>
      <c r="AG13" s="94">
        <f>SUM(AC13:AF13)</f>
        <v>755.63026816823105</v>
      </c>
      <c r="AH13" s="93">
        <f>AH9*AH32</f>
        <v>216.50599971000005</v>
      </c>
      <c r="AI13" s="93">
        <f t="shared" ref="AI13:AK13" si="69">AI9*AI32</f>
        <v>201.68607005329372</v>
      </c>
      <c r="AJ13" s="93">
        <f t="shared" si="69"/>
        <v>181.77590720482294</v>
      </c>
      <c r="AK13" s="93">
        <f t="shared" si="69"/>
        <v>180.08531803258396</v>
      </c>
      <c r="AL13" s="94">
        <f>SUM(AH13:AK13)</f>
        <v>780.0532950007007</v>
      </c>
      <c r="AM13" s="93"/>
      <c r="AN13" s="93"/>
      <c r="AO13" s="219"/>
      <c r="AP13" s="93"/>
      <c r="AQ13" s="93"/>
      <c r="AR13" s="93"/>
      <c r="AS13" s="93"/>
    </row>
    <row r="14" spans="1:45" x14ac:dyDescent="0.35">
      <c r="B14" s="51" t="s">
        <v>45</v>
      </c>
      <c r="C14" s="53"/>
      <c r="D14" s="97">
        <v>11.435</v>
      </c>
      <c r="E14" s="97">
        <v>12.124000000000001</v>
      </c>
      <c r="F14" s="97">
        <v>12.795999999999999</v>
      </c>
      <c r="G14" s="97">
        <f>51.357-SUM(D14:F14)</f>
        <v>15.001999999999995</v>
      </c>
      <c r="H14" s="131">
        <f>SUM(D14:G14)</f>
        <v>51.356999999999999</v>
      </c>
      <c r="I14" s="97">
        <v>18.225000000000001</v>
      </c>
      <c r="J14" s="97">
        <v>23.004999999999999</v>
      </c>
      <c r="K14" s="97">
        <v>26.420999999999999</v>
      </c>
      <c r="L14" s="93">
        <f>M14-SUM(I14:K14)</f>
        <v>32.383999999999986</v>
      </c>
      <c r="M14" s="131">
        <v>100.035</v>
      </c>
      <c r="N14" s="97">
        <v>40.188000000000002</v>
      </c>
      <c r="O14" s="97">
        <v>53.752000000000002</v>
      </c>
      <c r="P14" s="97">
        <v>98.456999999999994</v>
      </c>
      <c r="Q14" s="97">
        <f>264.208-SUM(N14:P14)</f>
        <v>71.811000000000035</v>
      </c>
      <c r="R14" s="131">
        <f>SUM(N14:Q14)</f>
        <v>264.20800000000003</v>
      </c>
      <c r="S14" s="97">
        <v>80.414000000000001</v>
      </c>
      <c r="T14" s="97">
        <v>82.58</v>
      </c>
      <c r="U14" s="97">
        <v>65.510000000000005</v>
      </c>
      <c r="V14" s="97">
        <f>316.415-SUM(S14:U14)</f>
        <v>87.911000000000001</v>
      </c>
      <c r="W14" s="94">
        <f>SUM(S14:V14)</f>
        <v>316.41500000000002</v>
      </c>
      <c r="X14" s="97">
        <v>82.305999999999997</v>
      </c>
      <c r="Y14" s="97">
        <v>78.173000000000002</v>
      </c>
      <c r="Z14" s="97">
        <v>77.234999999999999</v>
      </c>
      <c r="AA14" s="93">
        <f>AB14-SUM(X14:Z14)</f>
        <v>82.963999999999999</v>
      </c>
      <c r="AB14" s="94">
        <v>320.678</v>
      </c>
      <c r="AC14" s="97">
        <v>88.637</v>
      </c>
      <c r="AD14" s="93">
        <f>AD9*AD33</f>
        <v>104.63132854761304</v>
      </c>
      <c r="AE14" s="93">
        <f t="shared" ref="AE14:AF14" si="70">AE9*AE33</f>
        <v>91.79001579698209</v>
      </c>
      <c r="AF14" s="93">
        <f t="shared" si="70"/>
        <v>89.758364866936105</v>
      </c>
      <c r="AG14" s="94">
        <f>SUM(AC14:AF14)</f>
        <v>374.81670921153125</v>
      </c>
      <c r="AH14" s="93">
        <f>AH9*AH33</f>
        <v>109.44259326000002</v>
      </c>
      <c r="AI14" s="93">
        <f t="shared" ref="AI14:AK14" si="71">AI9*AI33</f>
        <v>111.2750731328517</v>
      </c>
      <c r="AJ14" s="93">
        <f t="shared" si="71"/>
        <v>98.553202701410044</v>
      </c>
      <c r="AK14" s="93">
        <f t="shared" si="71"/>
        <v>98.02112247343176</v>
      </c>
      <c r="AL14" s="94">
        <f>SUM(AH14:AK14)</f>
        <v>417.29199156769357</v>
      </c>
      <c r="AM14" s="93"/>
      <c r="AN14" s="93"/>
      <c r="AO14" s="219"/>
      <c r="AP14" s="51"/>
      <c r="AQ14" s="51"/>
      <c r="AR14" s="51"/>
      <c r="AS14" s="51"/>
    </row>
    <row r="15" spans="1:45" x14ac:dyDescent="0.35">
      <c r="A15" s="14" t="s">
        <v>36</v>
      </c>
      <c r="B15" s="52" t="s">
        <v>56</v>
      </c>
      <c r="C15" s="76"/>
      <c r="D15" s="100">
        <f>D11-D13-D14</f>
        <v>-31.746000000000002</v>
      </c>
      <c r="E15" s="100">
        <f t="shared" ref="E15:G15" si="72">E11-E13-E14</f>
        <v>-28.635999999999996</v>
      </c>
      <c r="F15" s="100">
        <f>F11-F13-F14+14.4</f>
        <v>-21.081999999999994</v>
      </c>
      <c r="G15" s="100">
        <f t="shared" si="72"/>
        <v>-34.792000000000044</v>
      </c>
      <c r="H15" s="101">
        <f>SUM(D15:G15)</f>
        <v>-116.25600000000004</v>
      </c>
      <c r="I15" s="100">
        <f t="shared" ref="I15" si="73">I11-I13-I14</f>
        <v>-34.872</v>
      </c>
      <c r="J15" s="100">
        <f t="shared" ref="J15" si="74">J11-J13-J14</f>
        <v>-51.66</v>
      </c>
      <c r="K15" s="100">
        <f t="shared" ref="K15" si="75">K11-K13-K14</f>
        <v>-55.776999999999994</v>
      </c>
      <c r="L15" s="100">
        <f t="shared" ref="L15" si="76">L11-L13-L14</f>
        <v>-73.978999999999999</v>
      </c>
      <c r="M15" s="101">
        <f t="shared" ref="M15" si="77">SUM(I15:L15)</f>
        <v>-216.28800000000001</v>
      </c>
      <c r="N15" s="100">
        <f t="shared" ref="N15" si="78">N11-N13-N14</f>
        <v>-63.016999999999996</v>
      </c>
      <c r="O15" s="100">
        <f t="shared" ref="O15" si="79">O11-O13-O14</f>
        <v>-115.29400000000001</v>
      </c>
      <c r="P15" s="100">
        <f t="shared" ref="P15" si="80">P11-P13-P14</f>
        <v>-150.197</v>
      </c>
      <c r="Q15" s="100">
        <f t="shared" ref="Q15" si="81">Q11-Q13-Q14</f>
        <v>-139.666</v>
      </c>
      <c r="R15" s="101">
        <f t="shared" ref="R15" si="82">SUM(N15:Q15)</f>
        <v>-468.17400000000004</v>
      </c>
      <c r="S15" s="100">
        <f t="shared" ref="S15" si="83">S11-S13-S14</f>
        <v>-137.13</v>
      </c>
      <c r="T15" s="100">
        <f t="shared" ref="T15" si="84">T11-T13-T14</f>
        <v>-143.08499999999998</v>
      </c>
      <c r="U15" s="100">
        <f t="shared" ref="U15" si="85">U11-U13-U14</f>
        <v>-119.05200000000001</v>
      </c>
      <c r="V15" s="100">
        <f t="shared" ref="V15" si="86">V11-V13-V14</f>
        <v>-141.77299999999997</v>
      </c>
      <c r="W15" s="101">
        <f t="shared" ref="W15" si="87">SUM(S15:V15)</f>
        <v>-541.04</v>
      </c>
      <c r="X15" s="100">
        <f>X11-X13-X14</f>
        <v>-138.30099999999999</v>
      </c>
      <c r="Y15" s="100">
        <f t="shared" ref="Y15" si="88">Y11-Y13-Y14</f>
        <v>-112.42600000000002</v>
      </c>
      <c r="Z15" s="100">
        <f t="shared" ref="Z15" si="89">Z11-Z13-Z14</f>
        <v>-110.98199999999993</v>
      </c>
      <c r="AA15" s="100">
        <f t="shared" ref="AA15" si="90">AA11-AA13-AA14</f>
        <v>-84.529000000000053</v>
      </c>
      <c r="AB15" s="101">
        <f>SUM(X15:AA15)</f>
        <v>-446.238</v>
      </c>
      <c r="AC15" s="100">
        <f>AC11-AC13-AC14</f>
        <v>-74.313999999999936</v>
      </c>
      <c r="AD15" s="100">
        <f t="shared" ref="AD15" si="91">AD11-AD13-AD14</f>
        <v>-100.16482807678707</v>
      </c>
      <c r="AE15" s="100">
        <f t="shared" ref="AE15" si="92">AE11-AE13-AE14</f>
        <v>-81.006099047576157</v>
      </c>
      <c r="AF15" s="100">
        <f t="shared" ref="AF15" si="93">AF11-AF13-AF14</f>
        <v>-56.724929839839504</v>
      </c>
      <c r="AG15" s="101">
        <f>SUM(AC15:AF15)</f>
        <v>-312.20985696420269</v>
      </c>
      <c r="AH15" s="100">
        <f>AH11-AH13-AH14</f>
        <v>-50.563160969999984</v>
      </c>
      <c r="AI15" s="100">
        <f t="shared" ref="AI15:AK15" si="94">AI11-AI13-AI14</f>
        <v>-35.652159341326353</v>
      </c>
      <c r="AJ15" s="100">
        <f t="shared" si="94"/>
        <v>-26.95959425195332</v>
      </c>
      <c r="AK15" s="100">
        <f t="shared" si="94"/>
        <v>-6.972614151926976</v>
      </c>
      <c r="AL15" s="101">
        <f>SUM(AH15:AK15)</f>
        <v>-120.14752871520663</v>
      </c>
      <c r="AM15" s="73"/>
      <c r="AN15" s="93"/>
      <c r="AO15" s="99"/>
      <c r="AP15" s="93"/>
      <c r="AQ15" s="93"/>
      <c r="AR15" s="51"/>
      <c r="AS15" s="51"/>
    </row>
    <row r="16" spans="1:45" x14ac:dyDescent="0.35">
      <c r="B16" s="51"/>
      <c r="C16" s="53"/>
      <c r="D16" s="51"/>
      <c r="E16" s="51"/>
      <c r="F16" s="51"/>
      <c r="G16" s="51"/>
      <c r="H16" s="75"/>
      <c r="I16" s="51"/>
      <c r="J16" s="51"/>
      <c r="K16" s="51"/>
      <c r="L16" s="51"/>
      <c r="M16" s="75"/>
      <c r="N16" s="51"/>
      <c r="O16" s="51"/>
      <c r="P16" s="51"/>
      <c r="Q16" s="51"/>
      <c r="R16" s="75"/>
      <c r="S16" s="51"/>
      <c r="T16" s="51"/>
      <c r="U16" s="51"/>
      <c r="V16" s="51"/>
      <c r="W16" s="75"/>
      <c r="X16" s="51"/>
      <c r="Y16" s="51"/>
      <c r="Z16" s="51"/>
      <c r="AA16" s="51"/>
      <c r="AB16" s="75"/>
      <c r="AC16" s="51"/>
      <c r="AD16" s="51"/>
      <c r="AE16" s="51"/>
      <c r="AF16" s="51"/>
      <c r="AG16" s="75"/>
      <c r="AH16" s="51"/>
      <c r="AI16" s="51"/>
      <c r="AJ16" s="51"/>
      <c r="AK16" s="51"/>
      <c r="AL16" s="75"/>
      <c r="AM16" s="51"/>
      <c r="AN16" s="51"/>
      <c r="AO16" s="90"/>
      <c r="AP16" s="51"/>
      <c r="AQ16" s="51"/>
      <c r="AR16" s="51"/>
      <c r="AS16" s="51"/>
    </row>
    <row r="17" spans="1:45" x14ac:dyDescent="0.35">
      <c r="B17" s="51" t="s">
        <v>48</v>
      </c>
      <c r="C17" s="53"/>
      <c r="D17" s="102">
        <v>0</v>
      </c>
      <c r="E17" s="102">
        <v>0</v>
      </c>
      <c r="F17" s="102">
        <v>0</v>
      </c>
      <c r="G17" s="102">
        <v>0</v>
      </c>
      <c r="H17" s="103">
        <f t="shared" ref="H17:H18" si="95">SUM(D17:G17)</f>
        <v>0</v>
      </c>
      <c r="I17" s="102">
        <v>0</v>
      </c>
      <c r="J17" s="102">
        <v>1.9239999999999999</v>
      </c>
      <c r="K17" s="102">
        <v>1.7490000000000001</v>
      </c>
      <c r="L17" s="102">
        <f>7.562-SUM(I17:K17)</f>
        <v>3.8890000000000002</v>
      </c>
      <c r="M17" s="103">
        <f>SUM(I17:L17)</f>
        <v>7.5620000000000003</v>
      </c>
      <c r="N17" s="102">
        <v>1.371</v>
      </c>
      <c r="O17" s="102">
        <v>1.585</v>
      </c>
      <c r="P17" s="102">
        <v>1.274</v>
      </c>
      <c r="Q17" s="102">
        <f>5.381-SUM(N17:P17)</f>
        <v>1.1509999999999998</v>
      </c>
      <c r="R17" s="103">
        <f>SUM(N17:Q17)</f>
        <v>5.3810000000000002</v>
      </c>
      <c r="S17" s="102">
        <v>0.80100000000000005</v>
      </c>
      <c r="T17" s="102">
        <v>0.27700000000000002</v>
      </c>
      <c r="U17" s="102">
        <v>8.6999999999999994E-2</v>
      </c>
      <c r="V17" s="102">
        <f>3.538-SUM(S17:U17)</f>
        <v>2.3729999999999998</v>
      </c>
      <c r="W17" s="103">
        <f>SUM(S17:V17)</f>
        <v>3.5379999999999998</v>
      </c>
      <c r="X17" s="102">
        <v>4.585</v>
      </c>
      <c r="Y17" s="102">
        <v>4.5179999999999998</v>
      </c>
      <c r="Z17" s="102">
        <v>5.4059999999999997</v>
      </c>
      <c r="AA17" s="102">
        <f>24.353-SUM(X17:Z17)</f>
        <v>9.8440000000000012</v>
      </c>
      <c r="AB17" s="103">
        <f>SUM(X17:AA17)</f>
        <v>24.353000000000002</v>
      </c>
      <c r="AC17" s="102">
        <v>10.266999999999999</v>
      </c>
      <c r="AD17" s="102">
        <v>6</v>
      </c>
      <c r="AE17" s="228">
        <f t="shared" ref="AE17:AF19" si="96">AD17</f>
        <v>6</v>
      </c>
      <c r="AF17" s="228">
        <f t="shared" si="96"/>
        <v>6</v>
      </c>
      <c r="AG17" s="103">
        <f>SUM(AC17:AF17)</f>
        <v>28.266999999999999</v>
      </c>
      <c r="AH17" s="228">
        <f>AF17</f>
        <v>6</v>
      </c>
      <c r="AI17" s="228">
        <f t="shared" ref="AI17:AK19" si="97">AH17</f>
        <v>6</v>
      </c>
      <c r="AJ17" s="228">
        <f t="shared" si="97"/>
        <v>6</v>
      </c>
      <c r="AK17" s="228">
        <f t="shared" si="97"/>
        <v>6</v>
      </c>
      <c r="AL17" s="103">
        <f>SUM(AH17:AK17)</f>
        <v>24</v>
      </c>
      <c r="AM17" s="51"/>
      <c r="AN17" s="51" t="s">
        <v>36</v>
      </c>
      <c r="AO17" s="90" t="s">
        <v>185</v>
      </c>
      <c r="AP17" s="51"/>
      <c r="AQ17" s="51"/>
      <c r="AR17" s="51"/>
      <c r="AS17" s="51"/>
    </row>
    <row r="18" spans="1:45" x14ac:dyDescent="0.35">
      <c r="B18" s="51" t="s">
        <v>58</v>
      </c>
      <c r="C18" s="53"/>
      <c r="D18" s="102">
        <v>-2.7240000000000002</v>
      </c>
      <c r="E18" s="102">
        <v>-2.7210000000000001</v>
      </c>
      <c r="F18" s="102">
        <v>-2.6720000000000002</v>
      </c>
      <c r="G18" s="102">
        <f>-10.693-SUM(D18:F18)</f>
        <v>-2.5759999999999987</v>
      </c>
      <c r="H18" s="103">
        <f t="shared" si="95"/>
        <v>-10.693</v>
      </c>
      <c r="I18" s="102">
        <v>-2.464</v>
      </c>
      <c r="J18" s="102">
        <v>-4.0380000000000003</v>
      </c>
      <c r="K18" s="102">
        <v>-4.2699999999999996</v>
      </c>
      <c r="L18" s="102">
        <f>-15.082-SUM(I18:K18)</f>
        <v>-4.3100000000000005</v>
      </c>
      <c r="M18" s="103">
        <f t="shared" ref="M18:M19" si="98">SUM(I18:L18)</f>
        <v>-15.082000000000001</v>
      </c>
      <c r="N18" s="102">
        <v>-2.073</v>
      </c>
      <c r="O18" s="102">
        <v>-2.0750000000000002</v>
      </c>
      <c r="P18" s="102">
        <v>-2.0779999999999998</v>
      </c>
      <c r="Q18" s="102">
        <f>-8.305-SUM(N18:P18)</f>
        <v>-2.0790000000000006</v>
      </c>
      <c r="R18" s="103">
        <f t="shared" ref="R18:R19" si="99">SUM(N18:Q18)</f>
        <v>-8.3049999999999997</v>
      </c>
      <c r="S18" s="102">
        <v>-2.0870000000000002</v>
      </c>
      <c r="T18" s="102">
        <v>-2.15</v>
      </c>
      <c r="U18" s="102">
        <v>-2.33</v>
      </c>
      <c r="V18" s="102">
        <f>-9.319-SUM(S18:U18)</f>
        <v>-2.7520000000000007</v>
      </c>
      <c r="W18" s="103">
        <f t="shared" ref="W18:W19" si="100">SUM(S18:V18)</f>
        <v>-9.3190000000000008</v>
      </c>
      <c r="X18" s="102">
        <v>-3.0609999999999999</v>
      </c>
      <c r="Y18" s="102">
        <v>-3.177</v>
      </c>
      <c r="Z18" s="102">
        <v>-3.2519999999999998</v>
      </c>
      <c r="AA18" s="102">
        <f>-12.638-SUM(X18:Z18)</f>
        <v>-3.1480000000000015</v>
      </c>
      <c r="AB18" s="103">
        <f t="shared" ref="AB18:AB19" si="101">SUM(X18:AA18)</f>
        <v>-12.638</v>
      </c>
      <c r="AC18" s="102">
        <v>-3.1240000000000001</v>
      </c>
      <c r="AD18" s="228">
        <f>AC18</f>
        <v>-3.1240000000000001</v>
      </c>
      <c r="AE18" s="228">
        <f t="shared" si="96"/>
        <v>-3.1240000000000001</v>
      </c>
      <c r="AF18" s="228">
        <f t="shared" si="96"/>
        <v>-3.1240000000000001</v>
      </c>
      <c r="AG18" s="103">
        <f>SUM(AC18:AF18)</f>
        <v>-12.496</v>
      </c>
      <c r="AH18" s="236">
        <f>AF18</f>
        <v>-3.1240000000000001</v>
      </c>
      <c r="AI18" s="236">
        <f t="shared" si="97"/>
        <v>-3.1240000000000001</v>
      </c>
      <c r="AJ18" s="236">
        <f t="shared" si="97"/>
        <v>-3.1240000000000001</v>
      </c>
      <c r="AK18" s="236">
        <f t="shared" si="97"/>
        <v>-3.1240000000000001</v>
      </c>
      <c r="AL18" s="103">
        <f>SUM(AH18:AK18)</f>
        <v>-12.496</v>
      </c>
      <c r="AM18" s="51"/>
      <c r="AN18" s="51" t="s">
        <v>36</v>
      </c>
      <c r="AO18" s="90" t="s">
        <v>186</v>
      </c>
      <c r="AP18" s="51"/>
      <c r="AQ18" s="51"/>
      <c r="AR18" s="51"/>
      <c r="AS18" s="51"/>
    </row>
    <row r="19" spans="1:45" x14ac:dyDescent="0.35">
      <c r="B19" s="51" t="s">
        <v>49</v>
      </c>
      <c r="C19" s="53"/>
      <c r="D19" s="102">
        <v>0.45300000000000001</v>
      </c>
      <c r="E19" s="102">
        <v>0.83599999999999997</v>
      </c>
      <c r="F19" s="102">
        <v>0.67300000000000004</v>
      </c>
      <c r="G19" s="102">
        <f>4.152-SUM(D19:F19)</f>
        <v>2.1900000000000004</v>
      </c>
      <c r="H19" s="103">
        <f>SUM(D19:G19)</f>
        <v>4.1520000000000001</v>
      </c>
      <c r="I19" s="102">
        <v>1.9870000000000001</v>
      </c>
      <c r="J19" s="102">
        <v>-5.8479999999999999</v>
      </c>
      <c r="K19" s="102">
        <v>0</v>
      </c>
      <c r="L19" s="102">
        <f>-5.848-SUM(I19:K19)</f>
        <v>-1.9870000000000001</v>
      </c>
      <c r="M19" s="103">
        <f t="shared" si="98"/>
        <v>-5.8479999999999999</v>
      </c>
      <c r="N19" s="102">
        <v>0</v>
      </c>
      <c r="O19" s="102">
        <v>0</v>
      </c>
      <c r="P19" s="102">
        <v>0</v>
      </c>
      <c r="Q19" s="102">
        <v>0</v>
      </c>
      <c r="R19" s="103">
        <f t="shared" si="99"/>
        <v>0</v>
      </c>
      <c r="S19" s="102">
        <v>0</v>
      </c>
      <c r="T19" s="102">
        <v>0</v>
      </c>
      <c r="U19" s="102">
        <v>0</v>
      </c>
      <c r="V19" s="102">
        <v>0</v>
      </c>
      <c r="W19" s="103">
        <f t="shared" si="100"/>
        <v>0</v>
      </c>
      <c r="X19" s="102">
        <v>0</v>
      </c>
      <c r="Y19" s="102">
        <v>0</v>
      </c>
      <c r="Z19" s="102">
        <v>0</v>
      </c>
      <c r="AA19" s="102">
        <v>0</v>
      </c>
      <c r="AB19" s="103">
        <f t="shared" si="101"/>
        <v>0</v>
      </c>
      <c r="AC19" s="102">
        <v>0</v>
      </c>
      <c r="AD19" s="228">
        <f>AC19</f>
        <v>0</v>
      </c>
      <c r="AE19" s="228">
        <f t="shared" si="96"/>
        <v>0</v>
      </c>
      <c r="AF19" s="228">
        <f t="shared" si="96"/>
        <v>0</v>
      </c>
      <c r="AG19" s="103">
        <f>SUM(AC19:AF19)</f>
        <v>0</v>
      </c>
      <c r="AH19" s="236">
        <f>AF19</f>
        <v>0</v>
      </c>
      <c r="AI19" s="236">
        <f t="shared" si="97"/>
        <v>0</v>
      </c>
      <c r="AJ19" s="236">
        <f t="shared" si="97"/>
        <v>0</v>
      </c>
      <c r="AK19" s="236">
        <f t="shared" si="97"/>
        <v>0</v>
      </c>
      <c r="AL19" s="103">
        <f>SUM(AH19:AK19)</f>
        <v>0</v>
      </c>
      <c r="AM19" s="51"/>
      <c r="AN19" s="51"/>
      <c r="AO19" s="90"/>
      <c r="AP19" s="51"/>
      <c r="AQ19" s="51"/>
      <c r="AR19" s="51"/>
      <c r="AS19" s="51"/>
    </row>
    <row r="20" spans="1:45" s="19" customFormat="1" ht="13.9" x14ac:dyDescent="0.4">
      <c r="A20" s="14" t="s">
        <v>36</v>
      </c>
      <c r="B20" s="52" t="s">
        <v>50</v>
      </c>
      <c r="C20" s="76"/>
      <c r="D20" s="100">
        <f>D15+D17+D18+D19</f>
        <v>-34.016999999999996</v>
      </c>
      <c r="E20" s="100">
        <f t="shared" ref="E20:W20" si="102">E15+E17+E18+E19</f>
        <v>-30.520999999999997</v>
      </c>
      <c r="F20" s="100">
        <f t="shared" si="102"/>
        <v>-23.080999999999996</v>
      </c>
      <c r="G20" s="100">
        <f t="shared" si="102"/>
        <v>-35.178000000000047</v>
      </c>
      <c r="H20" s="101">
        <f t="shared" si="102"/>
        <v>-122.79700000000004</v>
      </c>
      <c r="I20" s="100">
        <f t="shared" si="102"/>
        <v>-35.348999999999997</v>
      </c>
      <c r="J20" s="100">
        <f t="shared" si="102"/>
        <v>-59.622</v>
      </c>
      <c r="K20" s="100">
        <f t="shared" si="102"/>
        <v>-58.297999999999988</v>
      </c>
      <c r="L20" s="100">
        <f t="shared" si="102"/>
        <v>-76.387</v>
      </c>
      <c r="M20" s="101">
        <f t="shared" si="102"/>
        <v>-229.65600000000001</v>
      </c>
      <c r="N20" s="100">
        <f t="shared" si="102"/>
        <v>-63.718999999999994</v>
      </c>
      <c r="O20" s="100">
        <f t="shared" si="102"/>
        <v>-115.78400000000002</v>
      </c>
      <c r="P20" s="100">
        <f t="shared" si="102"/>
        <v>-151.001</v>
      </c>
      <c r="Q20" s="100">
        <f t="shared" si="102"/>
        <v>-140.59399999999999</v>
      </c>
      <c r="R20" s="101">
        <f t="shared" si="102"/>
        <v>-471.09800000000001</v>
      </c>
      <c r="S20" s="100">
        <f t="shared" si="102"/>
        <v>-138.416</v>
      </c>
      <c r="T20" s="100">
        <f t="shared" si="102"/>
        <v>-144.958</v>
      </c>
      <c r="U20" s="100">
        <f t="shared" si="102"/>
        <v>-121.295</v>
      </c>
      <c r="V20" s="100">
        <f t="shared" si="102"/>
        <v>-142.15199999999999</v>
      </c>
      <c r="W20" s="101">
        <f t="shared" si="102"/>
        <v>-546.82099999999991</v>
      </c>
      <c r="X20" s="100">
        <f t="shared" ref="X20" si="103">X15+X17+X18+X19</f>
        <v>-136.77699999999999</v>
      </c>
      <c r="Y20" s="100">
        <f t="shared" ref="Y20" si="104">Y15+Y17+Y18+Y19</f>
        <v>-111.08500000000002</v>
      </c>
      <c r="Z20" s="100">
        <f t="shared" ref="Z20" si="105">Z15+Z17+Z18+Z19</f>
        <v>-108.82799999999992</v>
      </c>
      <c r="AA20" s="100">
        <f t="shared" ref="AA20" si="106">AA15+AA17+AA18+AA19</f>
        <v>-77.833000000000055</v>
      </c>
      <c r="AB20" s="101">
        <f t="shared" ref="AB20" si="107">AB15+AB17+AB18+AB19</f>
        <v>-434.52299999999997</v>
      </c>
      <c r="AC20" s="100">
        <f t="shared" ref="AC20" si="108">AC15+AC17+AC18+AC19</f>
        <v>-67.170999999999935</v>
      </c>
      <c r="AD20" s="100">
        <f t="shared" ref="AD20" si="109">AD15+AD17+AD18+AD19</f>
        <v>-97.28882807678707</v>
      </c>
      <c r="AE20" s="100">
        <f t="shared" ref="AE20" si="110">AE15+AE17+AE18+AE19</f>
        <v>-78.130099047576152</v>
      </c>
      <c r="AF20" s="100">
        <f t="shared" ref="AF20" si="111">AF15+AF17+AF18+AF19</f>
        <v>-53.848929839839506</v>
      </c>
      <c r="AG20" s="101">
        <f t="shared" ref="AG20:AL20" si="112">AG15+AG17+AG18+AG19</f>
        <v>-296.43885696420267</v>
      </c>
      <c r="AH20" s="100">
        <f t="shared" si="112"/>
        <v>-47.687160969999987</v>
      </c>
      <c r="AI20" s="100">
        <f t="shared" si="112"/>
        <v>-32.776159341326355</v>
      </c>
      <c r="AJ20" s="100">
        <f t="shared" si="112"/>
        <v>-24.083594251953318</v>
      </c>
      <c r="AK20" s="100">
        <f t="shared" si="112"/>
        <v>-4.0966141519269765</v>
      </c>
      <c r="AL20" s="101">
        <f t="shared" si="112"/>
        <v>-108.64352871520663</v>
      </c>
      <c r="AM20" s="52"/>
      <c r="AN20" s="52"/>
      <c r="AO20" s="104"/>
      <c r="AP20" s="52"/>
      <c r="AQ20" s="52"/>
      <c r="AR20" s="52"/>
      <c r="AS20" s="52"/>
    </row>
    <row r="21" spans="1:45" x14ac:dyDescent="0.35">
      <c r="B21" s="51"/>
      <c r="C21" s="53"/>
      <c r="D21" s="51"/>
      <c r="E21" s="51"/>
      <c r="F21" s="51"/>
      <c r="G21" s="51"/>
      <c r="H21" s="75"/>
      <c r="I21" s="51"/>
      <c r="J21" s="51"/>
      <c r="K21" s="51"/>
      <c r="L21" s="51"/>
      <c r="M21" s="75"/>
      <c r="N21" s="51"/>
      <c r="O21" s="51"/>
      <c r="P21" s="51"/>
      <c r="Q21" s="51"/>
      <c r="R21" s="75"/>
      <c r="S21" s="51"/>
      <c r="T21" s="51"/>
      <c r="U21" s="51"/>
      <c r="V21" s="51"/>
      <c r="W21" s="75"/>
      <c r="X21" s="51"/>
      <c r="Y21" s="51"/>
      <c r="Z21" s="51"/>
      <c r="AA21" s="51"/>
      <c r="AB21" s="75"/>
      <c r="AC21" s="51"/>
      <c r="AD21" s="51"/>
      <c r="AE21" s="51"/>
      <c r="AF21" s="51"/>
      <c r="AG21" s="75"/>
      <c r="AH21" s="51"/>
      <c r="AI21" s="51"/>
      <c r="AJ21" s="51"/>
      <c r="AK21" s="51"/>
      <c r="AL21" s="75"/>
      <c r="AM21" s="51"/>
      <c r="AN21" s="51"/>
      <c r="AO21" s="90"/>
      <c r="AP21" s="51"/>
      <c r="AQ21" s="51"/>
      <c r="AR21" s="51"/>
      <c r="AS21" s="51"/>
    </row>
    <row r="22" spans="1:45" x14ac:dyDescent="0.35">
      <c r="B22" s="51" t="s">
        <v>51</v>
      </c>
      <c r="C22" s="53"/>
      <c r="D22" s="105">
        <f>D23/D20</f>
        <v>-2.1753828967869008E-3</v>
      </c>
      <c r="E22" s="105">
        <f t="shared" ref="E22:G22" si="113">E23/E20</f>
        <v>-6.2088398152092009E-2</v>
      </c>
      <c r="F22" s="105">
        <f t="shared" si="113"/>
        <v>-1.9063298817208962E-3</v>
      </c>
      <c r="G22" s="105">
        <f t="shared" si="113"/>
        <v>3.9797600773209879E-4</v>
      </c>
      <c r="H22" s="106">
        <f>H23/H20</f>
        <v>-1.6278899321644662E-2</v>
      </c>
      <c r="I22" s="105">
        <f>I23/I20</f>
        <v>-6.5065489829981048E-4</v>
      </c>
      <c r="J22" s="105">
        <f t="shared" ref="J22" si="114">J23/J20</f>
        <v>-2.5158498540807085E-4</v>
      </c>
      <c r="K22" s="105">
        <f t="shared" ref="K22" si="115">K23/K20</f>
        <v>-4.2883117774194666E-4</v>
      </c>
      <c r="L22" s="105">
        <f t="shared" ref="L22" si="116">L23/L20</f>
        <v>-4.5819314804875177E-4</v>
      </c>
      <c r="M22" s="106">
        <f>M23/M20</f>
        <v>-4.2672518897829799E-4</v>
      </c>
      <c r="N22" s="105">
        <f>N23/N20</f>
        <v>-2.102983411541299E-3</v>
      </c>
      <c r="O22" s="105">
        <f t="shared" ref="O22:Q22" si="117">O23/O20</f>
        <v>-2.0900988046707657E-3</v>
      </c>
      <c r="P22" s="105">
        <f t="shared" si="117"/>
        <v>-1.8013125740889134E-3</v>
      </c>
      <c r="Q22" s="105">
        <f t="shared" si="117"/>
        <v>2.1338037185086154E-4</v>
      </c>
      <c r="R22" s="106">
        <f>R23/R20</f>
        <v>-1.3118289612776958E-3</v>
      </c>
      <c r="S22" s="105">
        <f>S23/S20</f>
        <v>-1.2932030979077563E-3</v>
      </c>
      <c r="T22" s="105">
        <f t="shared" ref="T22:V22" si="118">T23/T20</f>
        <v>-1.3314201354875206E-3</v>
      </c>
      <c r="U22" s="105">
        <f t="shared" si="118"/>
        <v>-1.5252071396182859E-3</v>
      </c>
      <c r="V22" s="105">
        <f t="shared" si="118"/>
        <v>-2.9616185491586474E-3</v>
      </c>
      <c r="W22" s="107">
        <f>W23/W20</f>
        <v>-1.788519460664459E-3</v>
      </c>
      <c r="X22" s="105">
        <f>X23/X20</f>
        <v>-1.1697873180432385E-3</v>
      </c>
      <c r="Y22" s="105">
        <f t="shared" ref="Y22" si="119">Y23/Y20</f>
        <v>2.5385965701939951E-3</v>
      </c>
      <c r="Z22" s="105">
        <f t="shared" ref="Z22" si="120">Z23/Z20</f>
        <v>-1.8561399639798596E-3</v>
      </c>
      <c r="AA22" s="105">
        <f t="shared" ref="AA22" si="121">AA23/AA20</f>
        <v>-2.4539719656186945E-3</v>
      </c>
      <c r="AB22" s="107">
        <f>AB23/AB20</f>
        <v>-6.2367239478692735E-4</v>
      </c>
      <c r="AC22" s="105">
        <f>AC23/AC20</f>
        <v>-6.3717973530243764E-3</v>
      </c>
      <c r="AD22" s="105">
        <f t="shared" ref="AD22:AF22" si="122">AD23/AD20</f>
        <v>0</v>
      </c>
      <c r="AE22" s="105">
        <f t="shared" si="122"/>
        <v>0</v>
      </c>
      <c r="AF22" s="105">
        <f t="shared" si="122"/>
        <v>0</v>
      </c>
      <c r="AG22" s="107">
        <f>AG23/AG20</f>
        <v>-1.4438053242516865E-3</v>
      </c>
      <c r="AH22" s="105">
        <f>AH23/AH20</f>
        <v>0</v>
      </c>
      <c r="AI22" s="105">
        <f t="shared" ref="AI22" si="123">AI23/AI20</f>
        <v>0</v>
      </c>
      <c r="AJ22" s="105">
        <f t="shared" ref="AJ22" si="124">AJ23/AJ20</f>
        <v>0</v>
      </c>
      <c r="AK22" s="105">
        <f t="shared" ref="AK22" si="125">AK23/AK20</f>
        <v>0</v>
      </c>
      <c r="AL22" s="107">
        <f>AL23/AL20</f>
        <v>0</v>
      </c>
      <c r="AM22" s="51"/>
      <c r="AN22" s="51"/>
      <c r="AO22" s="90"/>
      <c r="AP22" s="51"/>
      <c r="AQ22" s="51"/>
      <c r="AR22" s="51"/>
      <c r="AS22" s="51"/>
    </row>
    <row r="23" spans="1:45" x14ac:dyDescent="0.35">
      <c r="B23" s="51" t="s">
        <v>55</v>
      </c>
      <c r="C23" s="53"/>
      <c r="D23" s="102">
        <v>7.3999999999999996E-2</v>
      </c>
      <c r="E23" s="102">
        <v>1.895</v>
      </c>
      <c r="F23" s="102">
        <v>4.3999999999999997E-2</v>
      </c>
      <c r="G23" s="102">
        <f>1.999-SUM(D23:F23)</f>
        <v>-1.399999999999979E-2</v>
      </c>
      <c r="H23" s="103">
        <f>SUM(D23:G23)</f>
        <v>1.9990000000000001</v>
      </c>
      <c r="I23" s="102">
        <v>2.3E-2</v>
      </c>
      <c r="J23" s="102">
        <v>1.4999999999999999E-2</v>
      </c>
      <c r="K23" s="102">
        <v>2.5000000000000001E-2</v>
      </c>
      <c r="L23" s="102">
        <f>0.098-SUM(I23:K23)</f>
        <v>3.5000000000000003E-2</v>
      </c>
      <c r="M23" s="103">
        <f>SUM(I23:L23)</f>
        <v>9.8000000000000004E-2</v>
      </c>
      <c r="N23" s="97">
        <v>0.13400000000000001</v>
      </c>
      <c r="O23" s="97">
        <v>0.24199999999999999</v>
      </c>
      <c r="P23" s="97">
        <v>0.27200000000000002</v>
      </c>
      <c r="Q23" s="97">
        <f>0.618-SUM(N23:P23)</f>
        <v>-3.0000000000000027E-2</v>
      </c>
      <c r="R23" s="94">
        <f>SUM(N23:Q23)</f>
        <v>0.61799999999999999</v>
      </c>
      <c r="S23" s="102">
        <v>0.17899999999999999</v>
      </c>
      <c r="T23" s="228">
        <v>0.193</v>
      </c>
      <c r="U23" s="228">
        <v>0.185</v>
      </c>
      <c r="V23" s="228">
        <f>0.978-SUM(S23:U23)</f>
        <v>0.42100000000000004</v>
      </c>
      <c r="W23" s="103">
        <f>SUM(S23:V23)</f>
        <v>0.97799999999999998</v>
      </c>
      <c r="X23" s="102">
        <v>0.16</v>
      </c>
      <c r="Y23" s="228">
        <v>-0.28199999999999997</v>
      </c>
      <c r="Z23" s="228">
        <v>0.20200000000000001</v>
      </c>
      <c r="AA23" s="228">
        <f>0.271-SUM(X23:Z23)</f>
        <v>0.19099999999999998</v>
      </c>
      <c r="AB23" s="103">
        <f>SUM(X23:AA23)</f>
        <v>0.27100000000000002</v>
      </c>
      <c r="AC23" s="102">
        <v>0.42799999999999999</v>
      </c>
      <c r="AD23" s="228">
        <f>0</f>
        <v>0</v>
      </c>
      <c r="AE23" s="228">
        <f>AD23</f>
        <v>0</v>
      </c>
      <c r="AF23" s="228">
        <f>AE23</f>
        <v>0</v>
      </c>
      <c r="AG23" s="103">
        <f>SUM(AC23:AF23)</f>
        <v>0.42799999999999999</v>
      </c>
      <c r="AH23" s="236">
        <v>0</v>
      </c>
      <c r="AI23" s="236">
        <f>AH23</f>
        <v>0</v>
      </c>
      <c r="AJ23" s="236">
        <f>AI23</f>
        <v>0</v>
      </c>
      <c r="AK23" s="236">
        <f>AJ23</f>
        <v>0</v>
      </c>
      <c r="AL23" s="103">
        <f>SUM(AH23:AK23)</f>
        <v>0</v>
      </c>
      <c r="AM23" s="51"/>
      <c r="AN23" s="51"/>
      <c r="AO23" s="90"/>
      <c r="AP23" s="51"/>
      <c r="AQ23" s="51"/>
      <c r="AR23" s="51"/>
      <c r="AS23" s="51"/>
    </row>
    <row r="24" spans="1:45" x14ac:dyDescent="0.35">
      <c r="A24" s="14" t="s">
        <v>36</v>
      </c>
      <c r="B24" s="52" t="s">
        <v>52</v>
      </c>
      <c r="C24" s="53"/>
      <c r="D24" s="100">
        <f>D20-D23</f>
        <v>-34.090999999999994</v>
      </c>
      <c r="E24" s="100">
        <f t="shared" ref="E24:G24" si="126">E20-E23</f>
        <v>-32.415999999999997</v>
      </c>
      <c r="F24" s="100">
        <f t="shared" si="126"/>
        <v>-23.124999999999996</v>
      </c>
      <c r="G24" s="100">
        <f t="shared" si="126"/>
        <v>-35.164000000000044</v>
      </c>
      <c r="H24" s="101">
        <f>H20-H23</f>
        <v>-124.79600000000003</v>
      </c>
      <c r="I24" s="100">
        <f t="shared" ref="I24" si="127">I20-I23</f>
        <v>-35.372</v>
      </c>
      <c r="J24" s="100">
        <f t="shared" ref="J24" si="128">J20-J23</f>
        <v>-59.637</v>
      </c>
      <c r="K24" s="100">
        <f t="shared" ref="K24" si="129">K20-K23</f>
        <v>-58.322999999999986</v>
      </c>
      <c r="L24" s="100">
        <f t="shared" ref="L24:N24" si="130">L20-L23</f>
        <v>-76.421999999999997</v>
      </c>
      <c r="M24" s="101">
        <f t="shared" si="130"/>
        <v>-229.75400000000002</v>
      </c>
      <c r="N24" s="100">
        <f t="shared" si="130"/>
        <v>-63.852999999999994</v>
      </c>
      <c r="O24" s="100">
        <f t="shared" ref="O24" si="131">O20-O23</f>
        <v>-116.02600000000002</v>
      </c>
      <c r="P24" s="100">
        <f t="shared" ref="P24" si="132">P20-P23</f>
        <v>-151.273</v>
      </c>
      <c r="Q24" s="100">
        <f t="shared" ref="Q24:S24" si="133">Q20-Q23</f>
        <v>-140.56399999999999</v>
      </c>
      <c r="R24" s="101">
        <f t="shared" si="133"/>
        <v>-471.71600000000001</v>
      </c>
      <c r="S24" s="100">
        <f t="shared" si="133"/>
        <v>-138.595</v>
      </c>
      <c r="T24" s="100">
        <f t="shared" ref="T24" si="134">T20-T23</f>
        <v>-145.15100000000001</v>
      </c>
      <c r="U24" s="100">
        <f t="shared" ref="U24" si="135">U20-U23</f>
        <v>-121.48</v>
      </c>
      <c r="V24" s="100">
        <f t="shared" ref="V24:X24" si="136">V20-V23</f>
        <v>-142.57299999999998</v>
      </c>
      <c r="W24" s="101">
        <f t="shared" si="136"/>
        <v>-547.79899999999986</v>
      </c>
      <c r="X24" s="100">
        <f t="shared" si="136"/>
        <v>-136.93699999999998</v>
      </c>
      <c r="Y24" s="100">
        <f t="shared" ref="Y24" si="137">Y20-Y23</f>
        <v>-110.80300000000003</v>
      </c>
      <c r="Z24" s="100">
        <f t="shared" ref="Z24" si="138">Z20-Z23</f>
        <v>-109.02999999999992</v>
      </c>
      <c r="AA24" s="100">
        <f t="shared" ref="AA24:AC24" si="139">AA20-AA23</f>
        <v>-78.024000000000058</v>
      </c>
      <c r="AB24" s="101">
        <f t="shared" si="139"/>
        <v>-434.79399999999998</v>
      </c>
      <c r="AC24" s="100">
        <f t="shared" si="139"/>
        <v>-67.598999999999933</v>
      </c>
      <c r="AD24" s="100">
        <f t="shared" ref="AD24" si="140">AD20-AD23</f>
        <v>-97.28882807678707</v>
      </c>
      <c r="AE24" s="100">
        <f t="shared" ref="AE24" si="141">AE20-AE23</f>
        <v>-78.130099047576152</v>
      </c>
      <c r="AF24" s="100">
        <f t="shared" ref="AF24:AL24" si="142">AF20-AF23</f>
        <v>-53.848929839839506</v>
      </c>
      <c r="AG24" s="101">
        <f t="shared" si="142"/>
        <v>-296.86685696420267</v>
      </c>
      <c r="AH24" s="100">
        <f t="shared" si="142"/>
        <v>-47.687160969999987</v>
      </c>
      <c r="AI24" s="100">
        <f t="shared" si="142"/>
        <v>-32.776159341326355</v>
      </c>
      <c r="AJ24" s="100">
        <f t="shared" si="142"/>
        <v>-24.083594251953318</v>
      </c>
      <c r="AK24" s="100">
        <f t="shared" si="142"/>
        <v>-4.0966141519269765</v>
      </c>
      <c r="AL24" s="101">
        <f t="shared" si="142"/>
        <v>-108.64352871520663</v>
      </c>
      <c r="AM24" s="51"/>
      <c r="AN24" s="51"/>
      <c r="AO24" s="90"/>
      <c r="AP24" s="51"/>
      <c r="AQ24" s="51"/>
      <c r="AR24" s="51"/>
      <c r="AS24" s="51"/>
    </row>
    <row r="25" spans="1:45" x14ac:dyDescent="0.35">
      <c r="B25" s="51"/>
      <c r="C25" s="53"/>
      <c r="D25" s="51"/>
      <c r="E25" s="51"/>
      <c r="F25" s="51"/>
      <c r="G25" s="51"/>
      <c r="H25" s="75"/>
      <c r="I25" s="51"/>
      <c r="J25" s="51"/>
      <c r="K25" s="51"/>
      <c r="L25" s="51"/>
      <c r="M25" s="75"/>
      <c r="N25" s="51"/>
      <c r="O25" s="51"/>
      <c r="P25" s="51"/>
      <c r="Q25" s="51"/>
      <c r="R25" s="75"/>
      <c r="S25" s="51"/>
      <c r="T25" s="51"/>
      <c r="U25" s="51"/>
      <c r="V25" s="51"/>
      <c r="W25" s="75"/>
      <c r="X25" s="51"/>
      <c r="Y25" s="51"/>
      <c r="Z25" s="51"/>
      <c r="AA25" s="51"/>
      <c r="AB25" s="75"/>
      <c r="AC25" s="51"/>
      <c r="AD25" s="51"/>
      <c r="AE25" s="51"/>
      <c r="AF25" s="51"/>
      <c r="AG25" s="75"/>
      <c r="AH25" s="51"/>
      <c r="AI25" s="51"/>
      <c r="AJ25" s="51"/>
      <c r="AK25" s="51"/>
      <c r="AL25" s="75"/>
      <c r="AM25" s="51"/>
      <c r="AN25" s="51"/>
      <c r="AO25" s="90"/>
      <c r="AP25" s="51"/>
      <c r="AQ25" s="51"/>
      <c r="AR25" s="51"/>
      <c r="AS25" s="51"/>
    </row>
    <row r="26" spans="1:45" x14ac:dyDescent="0.35">
      <c r="B26" s="51" t="s">
        <v>53</v>
      </c>
      <c r="C26" s="53"/>
      <c r="D26" s="224">
        <v>62.831000000000003</v>
      </c>
      <c r="E26" s="102">
        <v>68.224000000000004</v>
      </c>
      <c r="F26" s="102">
        <v>70.456000000000003</v>
      </c>
      <c r="G26" s="102">
        <f>(H26*4)-SUM(D26:F26)</f>
        <v>76.709000000000003</v>
      </c>
      <c r="H26" s="103">
        <v>69.555000000000007</v>
      </c>
      <c r="I26" s="102">
        <v>78.287000000000006</v>
      </c>
      <c r="J26" s="102">
        <v>79.069000000000003</v>
      </c>
      <c r="K26" s="102">
        <v>80.908000000000001</v>
      </c>
      <c r="L26" s="102">
        <f>(M26*4)-SUM(I26:K26)</f>
        <v>85.779999999999973</v>
      </c>
      <c r="M26" s="103">
        <v>81.010999999999996</v>
      </c>
      <c r="N26" s="97">
        <v>86.688999999999993</v>
      </c>
      <c r="O26" s="97">
        <v>88.076999999999998</v>
      </c>
      <c r="P26" s="97">
        <v>92.558000000000007</v>
      </c>
      <c r="Q26" s="97">
        <f>(R26*4)-SUM(N26:P26)</f>
        <v>94.908000000000015</v>
      </c>
      <c r="R26" s="94">
        <v>90.558000000000007</v>
      </c>
      <c r="S26" s="97">
        <v>95.578000000000003</v>
      </c>
      <c r="T26" s="97">
        <v>96.578999999999994</v>
      </c>
      <c r="U26" s="97">
        <v>97.052000000000007</v>
      </c>
      <c r="V26" s="97">
        <f>(W26*4)-SUM(S26:U26)</f>
        <v>104.423</v>
      </c>
      <c r="W26" s="94">
        <v>98.408000000000001</v>
      </c>
      <c r="X26" s="97">
        <v>111.767</v>
      </c>
      <c r="Y26" s="97">
        <v>113.69</v>
      </c>
      <c r="Z26" s="97">
        <v>115.17100000000001</v>
      </c>
      <c r="AA26" s="97">
        <f>(AB26*4)-SUM(X26:Z26)</f>
        <v>119.36000000000001</v>
      </c>
      <c r="AB26" s="94">
        <v>114.997</v>
      </c>
      <c r="AC26" s="97">
        <v>120.81399999999999</v>
      </c>
      <c r="AD26" s="93">
        <f>AC26</f>
        <v>120.81399999999999</v>
      </c>
      <c r="AE26" s="93">
        <f>AD26</f>
        <v>120.81399999999999</v>
      </c>
      <c r="AF26" s="93">
        <f>AE26</f>
        <v>120.81399999999999</v>
      </c>
      <c r="AG26" s="94">
        <f>AF26</f>
        <v>120.81399999999999</v>
      </c>
      <c r="AH26" s="97">
        <f>AG26*(1+1%)</f>
        <v>122.02213999999999</v>
      </c>
      <c r="AI26" s="93">
        <f>AH26</f>
        <v>122.02213999999999</v>
      </c>
      <c r="AJ26" s="93">
        <f>AI26</f>
        <v>122.02213999999999</v>
      </c>
      <c r="AK26" s="93">
        <f>AJ26</f>
        <v>122.02213999999999</v>
      </c>
      <c r="AL26" s="131">
        <f>AK26</f>
        <v>122.02213999999999</v>
      </c>
      <c r="AM26" s="51"/>
      <c r="AN26" s="51" t="s">
        <v>36</v>
      </c>
      <c r="AO26" s="90" t="s">
        <v>240</v>
      </c>
      <c r="AP26" s="51"/>
      <c r="AQ26" s="51"/>
      <c r="AR26" s="51"/>
      <c r="AS26" s="51"/>
    </row>
    <row r="27" spans="1:45" x14ac:dyDescent="0.35">
      <c r="A27" s="14" t="s">
        <v>36</v>
      </c>
      <c r="B27" s="52" t="s">
        <v>54</v>
      </c>
      <c r="C27" s="51"/>
      <c r="D27" s="108">
        <f>+D24/D26</f>
        <v>-0.54258248316913615</v>
      </c>
      <c r="E27" s="109">
        <f t="shared" ref="E27:G27" si="143">+E24/E26</f>
        <v>-0.4751407129455909</v>
      </c>
      <c r="F27" s="109">
        <f t="shared" si="143"/>
        <v>-0.32821903031679339</v>
      </c>
      <c r="G27" s="109">
        <f t="shared" si="143"/>
        <v>-0.45840774876481305</v>
      </c>
      <c r="H27" s="110">
        <f>+H24/H26</f>
        <v>-1.7942060240097768</v>
      </c>
      <c r="I27" s="109">
        <f>I24/I26</f>
        <v>-0.4518246963097321</v>
      </c>
      <c r="J27" s="109">
        <f t="shared" ref="J27" si="144">J24/J26</f>
        <v>-0.7542399676232151</v>
      </c>
      <c r="K27" s="109">
        <f t="shared" ref="K27" si="145">K24/K26</f>
        <v>-0.72085578681959739</v>
      </c>
      <c r="L27" s="109">
        <f t="shared" ref="L27" si="146">L24/L26</f>
        <v>-0.89090697132198671</v>
      </c>
      <c r="M27" s="110">
        <f>+M24/M26</f>
        <v>-2.836083988594142</v>
      </c>
      <c r="N27" s="109">
        <f t="shared" ref="N27" si="147">N24/N26</f>
        <v>-0.73657557475573598</v>
      </c>
      <c r="O27" s="109">
        <f t="shared" ref="O27" si="148">O24/O26</f>
        <v>-1.3173246136902941</v>
      </c>
      <c r="P27" s="109">
        <f t="shared" ref="P27" si="149">P24/P26</f>
        <v>-1.6343589965211001</v>
      </c>
      <c r="Q27" s="109">
        <f t="shared" ref="Q27" si="150">Q24/Q26</f>
        <v>-1.4810553378008173</v>
      </c>
      <c r="R27" s="110">
        <f t="shared" ref="R27" si="151">+R24/R26</f>
        <v>-5.2089931314737514</v>
      </c>
      <c r="S27" s="109">
        <f t="shared" ref="S27" si="152">S24/S26</f>
        <v>-1.4500721923455189</v>
      </c>
      <c r="T27" s="109">
        <f t="shared" ref="T27" si="153">T24/T26</f>
        <v>-1.5029250665258496</v>
      </c>
      <c r="U27" s="109">
        <f t="shared" ref="U27" si="154">U24/U26</f>
        <v>-1.2517001195235544</v>
      </c>
      <c r="V27" s="109">
        <f t="shared" ref="V27" si="155">V24/V26</f>
        <v>-1.3653409689436233</v>
      </c>
      <c r="W27" s="110">
        <f t="shared" ref="W27" si="156">+W24/W26</f>
        <v>-5.5666104381757568</v>
      </c>
      <c r="X27" s="109">
        <f t="shared" ref="X27" si="157">X24/X26</f>
        <v>-1.2252006406184293</v>
      </c>
      <c r="Y27" s="109">
        <f t="shared" ref="Y27" si="158">Y24/Y26</f>
        <v>-0.9746063857859093</v>
      </c>
      <c r="Z27" s="109">
        <f t="shared" ref="Z27" si="159">Z24/Z26</f>
        <v>-0.94667928558404379</v>
      </c>
      <c r="AA27" s="109">
        <f t="shared" ref="AA27" si="160">AA24/AA26</f>
        <v>-0.65368632707774843</v>
      </c>
      <c r="AB27" s="110">
        <f t="shared" ref="AB27" si="161">+AB24/AB26</f>
        <v>-3.7809160238962756</v>
      </c>
      <c r="AC27" s="109">
        <f>+AC24/AC26</f>
        <v>-0.55952952472395534</v>
      </c>
      <c r="AD27" s="109">
        <f t="shared" ref="AD27:AG27" si="162">+AD24/AD26</f>
        <v>-0.80527776645742277</v>
      </c>
      <c r="AE27" s="109">
        <f t="shared" si="162"/>
        <v>-0.64669739473551213</v>
      </c>
      <c r="AF27" s="109">
        <f t="shared" si="162"/>
        <v>-0.44571763073683107</v>
      </c>
      <c r="AG27" s="110">
        <f t="shared" si="162"/>
        <v>-2.4572223166537213</v>
      </c>
      <c r="AH27" s="109">
        <f>+AH24/AH26</f>
        <v>-0.39080744666500677</v>
      </c>
      <c r="AI27" s="109">
        <f t="shared" ref="AI27" si="163">+AI24/AI26</f>
        <v>-0.2686082979804022</v>
      </c>
      <c r="AJ27" s="109">
        <f t="shared" ref="AJ27" si="164">+AJ24/AJ26</f>
        <v>-0.19737069233463139</v>
      </c>
      <c r="AK27" s="109">
        <f t="shared" ref="AK27" si="165">+AK24/AK26</f>
        <v>-3.3572711902339826E-2</v>
      </c>
      <c r="AL27" s="110">
        <f t="shared" ref="AL27" si="166">+AL24/AL26</f>
        <v>-0.8903591488823801</v>
      </c>
      <c r="AM27" s="51"/>
      <c r="AN27" s="51"/>
      <c r="AO27" s="90"/>
      <c r="AP27" s="51"/>
      <c r="AQ27" s="51"/>
      <c r="AR27" s="51"/>
      <c r="AS27" s="51"/>
    </row>
    <row r="28" spans="1:45" x14ac:dyDescent="0.35">
      <c r="B28" s="51"/>
      <c r="C28" s="53"/>
      <c r="D28" s="51"/>
      <c r="E28" s="51"/>
      <c r="F28" s="51"/>
      <c r="G28" s="51"/>
      <c r="H28" s="75"/>
      <c r="I28" s="51"/>
      <c r="J28" s="51"/>
      <c r="K28" s="51"/>
      <c r="L28" s="51"/>
      <c r="M28" s="75"/>
      <c r="N28" s="196"/>
      <c r="O28" s="196"/>
      <c r="P28" s="196"/>
      <c r="Q28" s="196"/>
      <c r="R28" s="172"/>
      <c r="S28" s="196"/>
      <c r="T28" s="196"/>
      <c r="U28" s="196"/>
      <c r="V28" s="196"/>
      <c r="W28" s="172"/>
      <c r="X28" s="196"/>
      <c r="Y28" s="196"/>
      <c r="Z28" s="196"/>
      <c r="AA28" s="196"/>
      <c r="AB28" s="172"/>
      <c r="AC28" s="196"/>
      <c r="AD28" s="196"/>
      <c r="AE28" s="196"/>
      <c r="AF28" s="196"/>
      <c r="AG28" s="174"/>
      <c r="AH28" s="196"/>
      <c r="AI28" s="196"/>
      <c r="AJ28" s="196"/>
      <c r="AK28" s="196"/>
      <c r="AL28" s="75"/>
      <c r="AM28" s="51"/>
      <c r="AN28" s="51"/>
      <c r="AO28" s="90"/>
      <c r="AP28" s="51"/>
      <c r="AQ28" s="51"/>
      <c r="AR28" s="51"/>
      <c r="AS28" s="51"/>
    </row>
    <row r="29" spans="1:45" x14ac:dyDescent="0.35">
      <c r="B29" s="59"/>
      <c r="C29" s="53"/>
      <c r="D29" s="51"/>
      <c r="E29" s="51"/>
      <c r="F29" s="51"/>
      <c r="G29" s="51"/>
      <c r="H29" s="75"/>
      <c r="I29" s="51"/>
      <c r="J29" s="51"/>
      <c r="K29" s="51"/>
      <c r="L29" s="51"/>
      <c r="M29" s="75"/>
      <c r="N29" s="51"/>
      <c r="O29" s="51"/>
      <c r="P29" s="51"/>
      <c r="Q29" s="51"/>
      <c r="R29" s="75"/>
      <c r="S29" s="51"/>
      <c r="T29" s="51"/>
      <c r="U29" s="51"/>
      <c r="V29" s="51"/>
      <c r="W29" s="75"/>
      <c r="X29" s="51"/>
      <c r="Y29" s="51"/>
      <c r="Z29" s="51"/>
      <c r="AA29" s="51"/>
      <c r="AB29" s="75"/>
      <c r="AC29" s="51"/>
      <c r="AD29" s="51"/>
      <c r="AE29" s="51"/>
      <c r="AF29" s="51"/>
      <c r="AG29" s="75"/>
      <c r="AH29" s="51"/>
      <c r="AI29" s="51"/>
      <c r="AJ29" s="51"/>
      <c r="AK29" s="51"/>
      <c r="AL29" s="75"/>
      <c r="AM29" s="51"/>
      <c r="AN29" s="51"/>
      <c r="AO29" s="90"/>
      <c r="AP29" s="51"/>
      <c r="AQ29" s="51"/>
      <c r="AR29" s="51"/>
      <c r="AS29" s="51"/>
    </row>
    <row r="30" spans="1:45" ht="17.25" customHeight="1" x14ac:dyDescent="0.35">
      <c r="A30" s="14" t="s">
        <v>36</v>
      </c>
      <c r="B30" s="111" t="s">
        <v>61</v>
      </c>
      <c r="C30" s="112"/>
      <c r="D30" s="113" t="str">
        <f>D3</f>
        <v>1Q19</v>
      </c>
      <c r="E30" s="113" t="str">
        <f>E3</f>
        <v>2Q19</v>
      </c>
      <c r="F30" s="113" t="str">
        <f>F3</f>
        <v>3Q19</v>
      </c>
      <c r="G30" s="113" t="str">
        <f>G3</f>
        <v>4Q19</v>
      </c>
      <c r="H30" s="114"/>
      <c r="I30" s="115"/>
      <c r="J30" s="115"/>
      <c r="K30" s="115"/>
      <c r="L30" s="115"/>
      <c r="M30" s="116"/>
      <c r="N30" s="115"/>
      <c r="O30" s="115"/>
      <c r="P30" s="115"/>
      <c r="Q30" s="115"/>
      <c r="R30" s="116"/>
      <c r="S30" s="115"/>
      <c r="T30" s="115"/>
      <c r="U30" s="115"/>
      <c r="V30" s="115"/>
      <c r="W30" s="116"/>
      <c r="X30" s="115"/>
      <c r="Y30" s="115"/>
      <c r="Z30" s="115"/>
      <c r="AA30" s="115"/>
      <c r="AB30" s="116"/>
      <c r="AC30" s="115"/>
      <c r="AD30" s="115"/>
      <c r="AE30" s="115"/>
      <c r="AF30" s="115"/>
      <c r="AG30" s="116"/>
      <c r="AH30" s="115"/>
      <c r="AI30" s="115"/>
      <c r="AJ30" s="115"/>
      <c r="AK30" s="115"/>
      <c r="AL30" s="117"/>
      <c r="AM30" s="51"/>
      <c r="AN30" s="51"/>
      <c r="AO30" s="90"/>
      <c r="AP30" s="51"/>
      <c r="AQ30" s="51"/>
      <c r="AR30" s="51"/>
      <c r="AS30" s="51"/>
    </row>
    <row r="31" spans="1:45" x14ac:dyDescent="0.35">
      <c r="B31" s="118" t="s">
        <v>43</v>
      </c>
      <c r="C31" s="53"/>
      <c r="D31" s="119">
        <f>IF(ISERROR(D11/D$9),"NA",D11/D$9)</f>
        <v>0.35198431701185207</v>
      </c>
      <c r="E31" s="119">
        <f t="shared" ref="E31:G31" si="167">IF(ISERROR(E11/E$9),"NA",E11/E$9)</f>
        <v>0.41059780781386601</v>
      </c>
      <c r="F31" s="119">
        <f t="shared" si="167"/>
        <v>0.43677880604294766</v>
      </c>
      <c r="G31" s="119">
        <f t="shared" si="167"/>
        <v>0.46597965385123469</v>
      </c>
      <c r="H31" s="120">
        <f>H11/H9</f>
        <v>0.41964034701849184</v>
      </c>
      <c r="I31" s="119">
        <f t="shared" ref="I31:AK31" si="168">IF(ISERROR(I11/I$9),"NA",I11/I$9)</f>
        <v>0.52157171424924476</v>
      </c>
      <c r="J31" s="119">
        <f t="shared" si="168"/>
        <v>0.45717688962901293</v>
      </c>
      <c r="K31" s="119">
        <f t="shared" si="168"/>
        <v>0.47198475693630726</v>
      </c>
      <c r="L31" s="119">
        <f t="shared" si="168"/>
        <v>0.46708553222921317</v>
      </c>
      <c r="M31" s="120">
        <f>M11/$M$9</f>
        <v>0.47922474513675406</v>
      </c>
      <c r="N31" s="119">
        <f t="shared" si="168"/>
        <v>0.5613527140943827</v>
      </c>
      <c r="O31" s="119">
        <f t="shared" si="168"/>
        <v>0.46409812287890945</v>
      </c>
      <c r="P31" s="119">
        <f t="shared" si="168"/>
        <v>0.48537149940549984</v>
      </c>
      <c r="Q31" s="119">
        <f t="shared" si="168"/>
        <v>0.45603023788057423</v>
      </c>
      <c r="R31" s="120">
        <f>R11/R9</f>
        <v>0.49092705512193724</v>
      </c>
      <c r="S31" s="119">
        <f t="shared" si="168"/>
        <v>0.46832841402543618</v>
      </c>
      <c r="T31" s="119">
        <f t="shared" si="168"/>
        <v>0.44885469223007063</v>
      </c>
      <c r="U31" s="119">
        <f t="shared" si="168"/>
        <v>0.44685881397855076</v>
      </c>
      <c r="V31" s="119">
        <f t="shared" si="168"/>
        <v>0.41408134332480256</v>
      </c>
      <c r="W31" s="120">
        <f>W11/W9</f>
        <v>0.44374084089429444</v>
      </c>
      <c r="X31" s="119">
        <f t="shared" si="168"/>
        <v>0.38729959132348318</v>
      </c>
      <c r="Y31" s="119">
        <f t="shared" si="168"/>
        <v>0.45238404921118269</v>
      </c>
      <c r="Z31" s="119">
        <f t="shared" si="168"/>
        <v>0.45095897967246368</v>
      </c>
      <c r="AA31" s="119">
        <f t="shared" si="168"/>
        <v>0.51383937898780141</v>
      </c>
      <c r="AB31" s="120">
        <f>AB11/AB9</f>
        <v>0.45515721370699941</v>
      </c>
      <c r="AC31" s="119">
        <f t="shared" si="168"/>
        <v>0.56724977633715046</v>
      </c>
      <c r="AD31" s="255">
        <f t="shared" si="168"/>
        <v>0.56195263549828833</v>
      </c>
      <c r="AE31" s="255">
        <f t="shared" si="168"/>
        <v>0.54054600579922474</v>
      </c>
      <c r="AF31" s="255">
        <f t="shared" si="168"/>
        <v>0.55832630160159691</v>
      </c>
      <c r="AG31" s="120">
        <f>AG11/AG9</f>
        <v>0.55720914090454754</v>
      </c>
      <c r="AH31" s="119">
        <f t="shared" si="168"/>
        <v>0.57873856487965325</v>
      </c>
      <c r="AI31" s="255">
        <f t="shared" si="168"/>
        <v>0.59810480684472189</v>
      </c>
      <c r="AJ31" s="255">
        <f t="shared" si="168"/>
        <v>0.57845041520296825</v>
      </c>
      <c r="AK31" s="255">
        <f t="shared" si="168"/>
        <v>0.59470623468864459</v>
      </c>
      <c r="AL31" s="182">
        <f>AL11/AL9</f>
        <v>0.5875378654550536</v>
      </c>
      <c r="AM31" s="51"/>
      <c r="AN31" s="51" t="s">
        <v>36</v>
      </c>
      <c r="AO31" s="90" t="s">
        <v>251</v>
      </c>
      <c r="AP31" s="51"/>
      <c r="AQ31" s="51"/>
      <c r="AR31" s="51"/>
      <c r="AS31" s="51"/>
    </row>
    <row r="32" spans="1:45" x14ac:dyDescent="0.35">
      <c r="B32" s="118" t="s">
        <v>44</v>
      </c>
      <c r="C32" s="53"/>
      <c r="D32" s="119">
        <f>IF(ISERROR(D13/D$9),"NA",D13/D$9)</f>
        <v>0.6559320004788699</v>
      </c>
      <c r="E32" s="119">
        <f t="shared" ref="E32:G32" si="169">IF(ISERROR(E13/E$9),"NA",E13/E$9)</f>
        <v>0.63266760809629474</v>
      </c>
      <c r="F32" s="119">
        <f t="shared" si="169"/>
        <v>0.72796467673824594</v>
      </c>
      <c r="G32" s="119">
        <f t="shared" si="169"/>
        <v>0.70367167513421969</v>
      </c>
      <c r="H32" s="120">
        <f>H13/H9</f>
        <v>0.68191845793078809</v>
      </c>
      <c r="I32" s="119">
        <f>IF(ISERROR(I13/I$9),"NA",I13/I$9)</f>
        <v>0.69864485384844488</v>
      </c>
      <c r="J32" s="119">
        <f t="shared" ref="J32:N32" si="170">IF(ISERROR(J13/J$9),"NA",J13/J$9)</f>
        <v>0.78855583310204458</v>
      </c>
      <c r="K32" s="119">
        <f t="shared" si="170"/>
        <v>0.77109931426591805</v>
      </c>
      <c r="L32" s="119">
        <f t="shared" si="170"/>
        <v>0.83725648989472001</v>
      </c>
      <c r="M32" s="120">
        <f>M13/M9</f>
        <v>0.77655155833593348</v>
      </c>
      <c r="N32" s="119">
        <f t="shared" si="170"/>
        <v>0.71123191260274687</v>
      </c>
      <c r="O32" s="119">
        <f>IF(ISERROR(O13/O$9),"NA",O13/O$9)</f>
        <v>0.89741314970498354</v>
      </c>
      <c r="P32" s="119">
        <f t="shared" ref="P32:Q32" si="171">IF(ISERROR(P13/P$9),"NA",P13/P$9)</f>
        <v>0.81259961041260853</v>
      </c>
      <c r="Q32" s="119">
        <f t="shared" si="171"/>
        <v>0.84819220010634089</v>
      </c>
      <c r="R32" s="120">
        <f>R13/R9</f>
        <v>0.8170190859587585</v>
      </c>
      <c r="S32" s="119">
        <f t="shared" ref="S32:AC34" si="172">IF(ISERROR(S13/S$9),"NA",S13/S$9)</f>
        <v>0.76047864093173223</v>
      </c>
      <c r="T32" s="119">
        <f>IF(ISERROR(T13/T$9),"NA",T13/T$9)</f>
        <v>0.75412714429868821</v>
      </c>
      <c r="U32" s="119">
        <f t="shared" ref="U32:V32" si="173">IF(ISERROR(U13/U$9),"NA",U13/U$9)</f>
        <v>0.70104967313434963</v>
      </c>
      <c r="V32" s="119">
        <f t="shared" si="173"/>
        <v>0.6620054130686942</v>
      </c>
      <c r="W32" s="120">
        <f>W13/W9</f>
        <v>0.71759962546725142</v>
      </c>
      <c r="X32" s="119">
        <f t="shared" si="172"/>
        <v>0.61891742087062995</v>
      </c>
      <c r="Y32" s="119">
        <f t="shared" si="172"/>
        <v>0.58341876941439308</v>
      </c>
      <c r="Z32" s="119">
        <f t="shared" si="172"/>
        <v>0.57673700923572324</v>
      </c>
      <c r="AA32" s="119">
        <f t="shared" si="172"/>
        <v>0.5188698349431865</v>
      </c>
      <c r="AB32" s="120">
        <f>AB13/AB9</f>
        <v>0.57114036862247375</v>
      </c>
      <c r="AC32" s="119">
        <f t="shared" si="172"/>
        <v>0.52830116848542852</v>
      </c>
      <c r="AD32" s="193">
        <v>0.55000000000000004</v>
      </c>
      <c r="AE32" s="193">
        <v>0.51</v>
      </c>
      <c r="AF32" s="193">
        <v>0.47</v>
      </c>
      <c r="AG32" s="120">
        <f>AG13/AG9</f>
        <v>0.51457466553663123</v>
      </c>
      <c r="AH32" s="193">
        <v>0.45500000000000002</v>
      </c>
      <c r="AI32" s="193">
        <v>0.435</v>
      </c>
      <c r="AJ32" s="193">
        <v>0.41499999999999998</v>
      </c>
      <c r="AK32" s="193">
        <v>0.39500000000000002</v>
      </c>
      <c r="AL32" s="182">
        <f>AL13/AL9</f>
        <v>0.42546583906681001</v>
      </c>
      <c r="AM32" s="51"/>
      <c r="AN32" s="51" t="s">
        <v>36</v>
      </c>
      <c r="AO32" s="90" t="s">
        <v>188</v>
      </c>
      <c r="AP32" s="51"/>
      <c r="AQ32" s="51"/>
      <c r="AR32" s="51"/>
      <c r="AS32" s="51"/>
    </row>
    <row r="33" spans="1:45" x14ac:dyDescent="0.35">
      <c r="B33" s="118" t="s">
        <v>45</v>
      </c>
      <c r="C33" s="53"/>
      <c r="D33" s="119">
        <f>IF(ISERROR(D14/D$9),"NA",D14/D$9)</f>
        <v>0.17112115407637976</v>
      </c>
      <c r="E33" s="119">
        <f>IF(ISERROR(E14/E$9),"NA",E14/E$9)</f>
        <v>0.16305561159303342</v>
      </c>
      <c r="F33" s="119">
        <f>IF(ISERROR(F14/F$9),"NA",F14/F$9)</f>
        <v>0.16424289876650963</v>
      </c>
      <c r="G33" s="119">
        <f>IF(ISERROR(G14/G$9),"NA",G14/G$9)</f>
        <v>0.18018472477449882</v>
      </c>
      <c r="H33" s="120">
        <f>H14/H9</f>
        <v>0.16986111983912525</v>
      </c>
      <c r="I33" s="119">
        <f>IF(ISERROR(I14/I$9),"NA",I14/I$9)</f>
        <v>0.19385823086414503</v>
      </c>
      <c r="J33" s="119">
        <f>IF(ISERROR(J14/J$9),"NA",J14/J$9)</f>
        <v>0.26603987417892494</v>
      </c>
      <c r="K33" s="119">
        <f>IF(ISERROR(K14/K$9),"NA",K14/K$9)</f>
        <v>0.26920921512486878</v>
      </c>
      <c r="L33" s="119">
        <f>IF(ISERROR(L14/L$9),"NA",L14/L$9)</f>
        <v>0.2881984924399511</v>
      </c>
      <c r="M33" s="120">
        <f>M14/M9</f>
        <v>0.25584791582479521</v>
      </c>
      <c r="N33" s="119">
        <f>IF(ISERROR(N14/N$9),"NA",N14/N$9)</f>
        <v>0.26384621444890888</v>
      </c>
      <c r="O33" s="119">
        <f t="shared" ref="O33:Q34" si="174">IF(ISERROR(O14/O$9),"NA",O14/O$9)</f>
        <v>0.37846591469167618</v>
      </c>
      <c r="P33" s="119">
        <f t="shared" si="174"/>
        <v>0.6226884059804193</v>
      </c>
      <c r="Q33" s="119">
        <f t="shared" si="174"/>
        <v>0.4150253138220405</v>
      </c>
      <c r="R33" s="120">
        <f>R14/R9</f>
        <v>0.42240433838647073</v>
      </c>
      <c r="S33" s="119">
        <f>IF(ISERROR(S14/S$9),"NA",S14/S$9)</f>
        <v>0.41422117826438576</v>
      </c>
      <c r="T33" s="119">
        <f t="shared" ref="T33:V34" si="175">IF(ISERROR(T14/T$9),"NA",T14/T$9)</f>
        <v>0.41664984863773968</v>
      </c>
      <c r="U33" s="119">
        <f t="shared" si="175"/>
        <v>0.31100898702507157</v>
      </c>
      <c r="V33" s="119">
        <f t="shared" si="175"/>
        <v>0.40464989965569925</v>
      </c>
      <c r="W33" s="120">
        <f>W14/W9</f>
        <v>0.38576751172243612</v>
      </c>
      <c r="X33" s="119">
        <f>IF(ISERROR(X14/X$9),"NA",X14/X$9)</f>
        <v>0.34045070236105823</v>
      </c>
      <c r="Y33" s="119">
        <f t="shared" si="172"/>
        <v>0.29905051185138715</v>
      </c>
      <c r="Z33" s="119">
        <f t="shared" si="172"/>
        <v>0.28786162068682769</v>
      </c>
      <c r="AA33" s="119">
        <f t="shared" si="172"/>
        <v>0.26667523826360878</v>
      </c>
      <c r="AB33" s="120">
        <f>AB14/AB9</f>
        <v>0.2962189085057701</v>
      </c>
      <c r="AC33" s="119">
        <f>AC14/AC9</f>
        <v>0.24103105174565792</v>
      </c>
      <c r="AD33" s="193">
        <v>0.28000000000000003</v>
      </c>
      <c r="AE33" s="193">
        <v>0.26</v>
      </c>
      <c r="AF33" s="193">
        <v>0.24</v>
      </c>
      <c r="AG33" s="120">
        <f>AG14/AG9</f>
        <v>0.25524544331398363</v>
      </c>
      <c r="AH33" s="193">
        <v>0.23</v>
      </c>
      <c r="AI33" s="193">
        <v>0.24</v>
      </c>
      <c r="AJ33" s="193">
        <v>0.22500000000000001</v>
      </c>
      <c r="AK33" s="193">
        <v>0.215</v>
      </c>
      <c r="AL33" s="182">
        <f>AL14/AL9</f>
        <v>0.22760430404700679</v>
      </c>
      <c r="AM33" s="51"/>
      <c r="AN33" s="51" t="s">
        <v>36</v>
      </c>
      <c r="AO33" s="90" t="s">
        <v>187</v>
      </c>
      <c r="AP33" s="51"/>
      <c r="AQ33" s="51"/>
      <c r="AR33" s="51"/>
      <c r="AS33" s="51"/>
    </row>
    <row r="34" spans="1:45" x14ac:dyDescent="0.35">
      <c r="B34" s="118" t="s">
        <v>62</v>
      </c>
      <c r="C34" s="53"/>
      <c r="D34" s="119">
        <f>IF(ISERROR(D15/D$9),"NA",D15/D$9)</f>
        <v>-0.47506883754339763</v>
      </c>
      <c r="E34" s="119">
        <f t="shared" ref="E34:G34" si="176">IF(ISERROR(E15/E$9),"NA",E15/E$9)</f>
        <v>-0.38512541187546223</v>
      </c>
      <c r="F34" s="119">
        <f t="shared" si="176"/>
        <v>-0.27059774865548258</v>
      </c>
      <c r="G34" s="119">
        <f t="shared" si="176"/>
        <v>-0.41787674605748387</v>
      </c>
      <c r="H34" s="120">
        <f>H15/H9</f>
        <v>-0.38451183573840669</v>
      </c>
      <c r="I34" s="119">
        <f>IF(ISERROR(I15/I$9),"NA",I15/I$9)</f>
        <v>-0.37093137046334512</v>
      </c>
      <c r="J34" s="119">
        <f t="shared" ref="J34:L34" si="177">IF(ISERROR(J15/J$9),"NA",J15/J$9)</f>
        <v>-0.59741881765195659</v>
      </c>
      <c r="K34" s="119">
        <f t="shared" si="177"/>
        <v>-0.56832377245447963</v>
      </c>
      <c r="L34" s="119">
        <f t="shared" si="177"/>
        <v>-0.658369450105458</v>
      </c>
      <c r="M34" s="120">
        <f>M15/M9</f>
        <v>-0.5531747290239748</v>
      </c>
      <c r="N34" s="119">
        <f>IF(ISERROR(N15/N$9),"NA",N15/N$9)</f>
        <v>-0.413725412957273</v>
      </c>
      <c r="O34" s="119">
        <f t="shared" si="174"/>
        <v>-0.81178094151775027</v>
      </c>
      <c r="P34" s="119">
        <f t="shared" si="174"/>
        <v>-0.9499165169875281</v>
      </c>
      <c r="Q34" s="119">
        <f t="shared" si="174"/>
        <v>-0.80718727604780716</v>
      </c>
      <c r="R34" s="120">
        <f>R15/R9</f>
        <v>-0.74849636922329199</v>
      </c>
      <c r="S34" s="119">
        <f>IF(ISERROR(S15/S$9),"NA",S15/S$9)</f>
        <v>-0.70637140517068187</v>
      </c>
      <c r="T34" s="119">
        <f t="shared" si="175"/>
        <v>-0.7219223007063571</v>
      </c>
      <c r="U34" s="119">
        <f t="shared" si="175"/>
        <v>-0.56519984618087049</v>
      </c>
      <c r="V34" s="119">
        <f t="shared" si="175"/>
        <v>-0.65257396939959089</v>
      </c>
      <c r="W34" s="120">
        <f>W15/W9</f>
        <v>-0.65962629629539304</v>
      </c>
      <c r="X34" s="119">
        <f>IF(ISERROR(X15/X$9),"NA",X15/X$9)</f>
        <v>-0.57206853190820495</v>
      </c>
      <c r="Y34" s="119">
        <f t="shared" si="172"/>
        <v>-0.43008523205459753</v>
      </c>
      <c r="Z34" s="119">
        <f t="shared" si="172"/>
        <v>-0.41363965025008725</v>
      </c>
      <c r="AA34" s="119">
        <f t="shared" si="172"/>
        <v>-0.27170569421899377</v>
      </c>
      <c r="AB34" s="120">
        <f>AB15/AB9</f>
        <v>-0.41220206342124444</v>
      </c>
      <c r="AC34" s="119">
        <f>IF(ISERROR(AC15/AC$9),"NA",AC15/AC$9)</f>
        <v>-0.20208244389393604</v>
      </c>
      <c r="AD34" s="119">
        <f t="shared" ref="AD34:AF34" si="178">IF(ISERROR(AD15/AD$9),"NA",AD15/AD$9)</f>
        <v>-0.26804736450171168</v>
      </c>
      <c r="AE34" s="119">
        <f t="shared" si="178"/>
        <v>-0.22945399420077531</v>
      </c>
      <c r="AF34" s="119">
        <f t="shared" si="178"/>
        <v>-0.15167369839840303</v>
      </c>
      <c r="AG34" s="120">
        <f>AG15/AG9</f>
        <v>-0.2126109679460674</v>
      </c>
      <c r="AH34" s="119">
        <f>IF(ISERROR(AH15/AH$9),"NA",AH15/AH$9)</f>
        <v>-0.1062614351203468</v>
      </c>
      <c r="AI34" s="119">
        <f>AI15/AI9</f>
        <v>-7.6895193155278069E-2</v>
      </c>
      <c r="AJ34" s="119">
        <f t="shared" ref="AJ34:AK34" si="179">AJ15/AJ9</f>
        <v>-6.1549584797031764E-2</v>
      </c>
      <c r="AK34" s="119">
        <f t="shared" si="179"/>
        <v>-1.5293765311355501E-2</v>
      </c>
      <c r="AL34" s="182">
        <f>AL15/AL9</f>
        <v>-6.5532277658763211E-2</v>
      </c>
      <c r="AM34" s="51"/>
      <c r="AN34" s="51"/>
      <c r="AO34" s="51"/>
      <c r="AP34" s="51"/>
      <c r="AQ34" s="51"/>
      <c r="AR34" s="51"/>
      <c r="AS34" s="51"/>
    </row>
    <row r="35" spans="1:45" x14ac:dyDescent="0.35">
      <c r="B35" s="118" t="s">
        <v>50</v>
      </c>
      <c r="C35" s="53"/>
      <c r="D35" s="119">
        <f>IF(ISERROR(D20/D$9),"NA",D20/D$9)</f>
        <v>-0.50905363342511667</v>
      </c>
      <c r="E35" s="119">
        <f t="shared" ref="E35:G35" si="180">IF(ISERROR(E20/E$9),"NA",E20/E$9)</f>
        <v>-0.41047676686167706</v>
      </c>
      <c r="F35" s="119">
        <f t="shared" si="180"/>
        <v>-0.29625588827991622</v>
      </c>
      <c r="G35" s="119">
        <f t="shared" si="180"/>
        <v>-0.42251288149028998</v>
      </c>
      <c r="H35" s="120">
        <f>H20/H9</f>
        <v>-0.4061459184314713</v>
      </c>
      <c r="I35" s="119">
        <f>IF(ISERROR(I20/I$9),"NA",I20/I$9)</f>
        <v>-0.37600519082670292</v>
      </c>
      <c r="J35" s="119">
        <f t="shared" ref="J35:L35" si="181">IF(ISERROR(J20/J$9),"NA",J20/J$9)</f>
        <v>-0.68949486538995275</v>
      </c>
      <c r="K35" s="119">
        <f t="shared" si="181"/>
        <v>-0.59401078018809272</v>
      </c>
      <c r="L35" s="119">
        <f t="shared" si="181"/>
        <v>-0.6797992293110966</v>
      </c>
      <c r="M35" s="120">
        <f>M20/M9</f>
        <v>-0.58736451198739625</v>
      </c>
      <c r="N35" s="119">
        <f t="shared" ref="N35:Q35" si="182">IF(ISERROR(N20/N$9),"NA",N20/N$9)</f>
        <v>-0.41833425247511746</v>
      </c>
      <c r="O35" s="119">
        <f t="shared" si="182"/>
        <v>-0.81523101403968301</v>
      </c>
      <c r="P35" s="119">
        <f t="shared" si="182"/>
        <v>-0.95500139138354112</v>
      </c>
      <c r="Q35" s="119">
        <f t="shared" si="182"/>
        <v>-0.81255056984996632</v>
      </c>
      <c r="R35" s="120">
        <f>R20/R9</f>
        <v>-0.75317113412610359</v>
      </c>
      <c r="S35" s="119">
        <f t="shared" ref="S35:V35" si="183">IF(ISERROR(S20/S$9),"NA",S20/S$9)</f>
        <v>-0.7129957297316788</v>
      </c>
      <c r="T35" s="119">
        <f t="shared" si="183"/>
        <v>-0.73137235116044408</v>
      </c>
      <c r="U35" s="119">
        <f t="shared" si="183"/>
        <v>-0.57584849765235924</v>
      </c>
      <c r="V35" s="119">
        <f t="shared" si="183"/>
        <v>-0.65431848728665298</v>
      </c>
      <c r="W35" s="120">
        <f>W20/W9</f>
        <v>-0.66667438815345093</v>
      </c>
      <c r="X35" s="119">
        <f t="shared" ref="X35:AK35" si="184">IF(ISERROR(X20/X$9),"NA",X20/X$9)</f>
        <v>-0.56576465527225794</v>
      </c>
      <c r="Y35" s="119">
        <f t="shared" si="184"/>
        <v>-0.42495524169484789</v>
      </c>
      <c r="Z35" s="119">
        <f t="shared" si="184"/>
        <v>-0.40561150328356393</v>
      </c>
      <c r="AA35" s="119">
        <f t="shared" si="184"/>
        <v>-0.25018241429742388</v>
      </c>
      <c r="AB35" s="120">
        <f>AB20/AB9</f>
        <v>-0.40138060228844114</v>
      </c>
      <c r="AC35" s="119">
        <f t="shared" si="184"/>
        <v>-0.18265844711359333</v>
      </c>
      <c r="AD35" s="119">
        <f t="shared" si="184"/>
        <v>-0.26035100805495631</v>
      </c>
      <c r="AE35" s="119">
        <f t="shared" si="184"/>
        <v>-0.22130757442398968</v>
      </c>
      <c r="AF35" s="119">
        <f t="shared" si="184"/>
        <v>-0.14398371873998056</v>
      </c>
      <c r="AG35" s="120">
        <f>AG20/AG9</f>
        <v>-0.20187111620633874</v>
      </c>
      <c r="AH35" s="119">
        <f t="shared" si="184"/>
        <v>-0.10021735319304324</v>
      </c>
      <c r="AI35" s="119">
        <f t="shared" si="184"/>
        <v>-7.0692186672631954E-2</v>
      </c>
      <c r="AJ35" s="119">
        <f t="shared" si="184"/>
        <v>-5.4983588134695574E-2</v>
      </c>
      <c r="AK35" s="119">
        <f t="shared" si="184"/>
        <v>-8.9855331222413789E-3</v>
      </c>
      <c r="AL35" s="182">
        <f>AL20/AL9</f>
        <v>-5.9257630728875951E-2</v>
      </c>
      <c r="AM35" s="51"/>
      <c r="AN35" s="51"/>
      <c r="AO35" s="51"/>
      <c r="AP35" s="51"/>
      <c r="AQ35" s="51"/>
      <c r="AR35" s="51"/>
      <c r="AS35" s="51"/>
    </row>
    <row r="36" spans="1:45" x14ac:dyDescent="0.35">
      <c r="B36" s="122" t="s">
        <v>52</v>
      </c>
      <c r="C36" s="123"/>
      <c r="D36" s="124">
        <f>IF(ISERROR(D24/D$9),"NA",D24/D$9)</f>
        <v>-0.51016101999281682</v>
      </c>
      <c r="E36" s="125">
        <f t="shared" ref="E36:G36" si="185">IF(ISERROR(E24/E$9),"NA",E24/E$9)</f>
        <v>-0.43596261179476825</v>
      </c>
      <c r="F36" s="125">
        <f t="shared" si="185"/>
        <v>-0.29682064973238004</v>
      </c>
      <c r="G36" s="125">
        <f t="shared" si="185"/>
        <v>-0.42234473150049906</v>
      </c>
      <c r="H36" s="126">
        <f>H24/H9</f>
        <v>-0.41275752694751411</v>
      </c>
      <c r="I36" s="125">
        <f t="shared" ref="I36:AK36" si="186">IF(ISERROR(I24/I$9),"NA",I24/I$9)</f>
        <v>-0.37624984044590054</v>
      </c>
      <c r="J36" s="125">
        <f t="shared" si="186"/>
        <v>-0.68966833194560084</v>
      </c>
      <c r="K36" s="125">
        <f t="shared" si="186"/>
        <v>-0.59426551053055221</v>
      </c>
      <c r="L36" s="125">
        <f t="shared" si="186"/>
        <v>-0.68011070866001577</v>
      </c>
      <c r="M36" s="126">
        <f>M24/M9</f>
        <v>-0.58761515521977326</v>
      </c>
      <c r="N36" s="125">
        <f t="shared" si="186"/>
        <v>-0.41921400246855217</v>
      </c>
      <c r="O36" s="125">
        <f t="shared" si="186"/>
        <v>-0.81693492740765783</v>
      </c>
      <c r="P36" s="125">
        <f t="shared" si="186"/>
        <v>-0.95672164739811272</v>
      </c>
      <c r="Q36" s="125">
        <f t="shared" si="186"/>
        <v>-0.8123771875072241</v>
      </c>
      <c r="R36" s="126">
        <f>R24/R9</f>
        <v>-0.75415916583264853</v>
      </c>
      <c r="S36" s="125">
        <f t="shared" si="186"/>
        <v>-0.71391777801816281</v>
      </c>
      <c r="T36" s="125">
        <f t="shared" si="186"/>
        <v>-0.73234611503531799</v>
      </c>
      <c r="U36" s="125">
        <f t="shared" si="186"/>
        <v>-0.57672678589231718</v>
      </c>
      <c r="V36" s="125">
        <f t="shared" si="186"/>
        <v>-0.65625632905565856</v>
      </c>
      <c r="W36" s="126">
        <f>W24/W9</f>
        <v>-0.66786674827058989</v>
      </c>
      <c r="X36" s="125">
        <f t="shared" si="186"/>
        <v>-0.56642647959099246</v>
      </c>
      <c r="Y36" s="125">
        <f t="shared" si="186"/>
        <v>-0.42387645177579542</v>
      </c>
      <c r="Z36" s="125">
        <f t="shared" si="186"/>
        <v>-0.4063643750046585</v>
      </c>
      <c r="AA36" s="125">
        <f t="shared" si="186"/>
        <v>-0.25079635492840058</v>
      </c>
      <c r="AB36" s="126">
        <f>AB24/AB9</f>
        <v>-0.40163093228989138</v>
      </c>
      <c r="AC36" s="125">
        <f t="shared" si="186"/>
        <v>-0.18382230972341926</v>
      </c>
      <c r="AD36" s="125">
        <f t="shared" si="186"/>
        <v>-0.26035100805495631</v>
      </c>
      <c r="AE36" s="125">
        <f t="shared" si="186"/>
        <v>-0.22130757442398968</v>
      </c>
      <c r="AF36" s="125">
        <f t="shared" si="186"/>
        <v>-0.14398371873998056</v>
      </c>
      <c r="AG36" s="126">
        <f>AG24/AG9</f>
        <v>-0.20216257879873006</v>
      </c>
      <c r="AH36" s="125">
        <f t="shared" si="186"/>
        <v>-0.10021735319304324</v>
      </c>
      <c r="AI36" s="125">
        <f t="shared" si="186"/>
        <v>-7.0692186672631954E-2</v>
      </c>
      <c r="AJ36" s="125">
        <f t="shared" si="186"/>
        <v>-5.4983588134695574E-2</v>
      </c>
      <c r="AK36" s="125">
        <f t="shared" si="186"/>
        <v>-8.9855331222413789E-3</v>
      </c>
      <c r="AL36" s="257">
        <f>AL24/AL9</f>
        <v>-5.9257630728875951E-2</v>
      </c>
      <c r="AM36" s="51"/>
      <c r="AN36" s="51"/>
      <c r="AO36" s="51"/>
      <c r="AP36" s="51"/>
      <c r="AQ36" s="51"/>
      <c r="AR36" s="51"/>
      <c r="AS36" s="51"/>
    </row>
    <row r="37" spans="1:45" x14ac:dyDescent="0.35">
      <c r="B37" s="51"/>
      <c r="C37" s="51"/>
      <c r="D37" s="115"/>
      <c r="E37" s="51"/>
      <c r="F37" s="51"/>
      <c r="G37" s="51"/>
      <c r="H37" s="115"/>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row>
    <row r="38" spans="1:45" x14ac:dyDescent="0.35">
      <c r="C38" s="14"/>
    </row>
    <row r="39" spans="1:45" x14ac:dyDescent="0.35">
      <c r="A39" s="14" t="s">
        <v>36</v>
      </c>
      <c r="B39" s="51" t="s">
        <v>79</v>
      </c>
      <c r="C39" s="14"/>
      <c r="AB39" s="258"/>
      <c r="AC39" s="258"/>
      <c r="AD39" s="258"/>
      <c r="AE39" s="258"/>
      <c r="AF39" s="258"/>
      <c r="AG39" s="258"/>
    </row>
  </sheetData>
  <mergeCells count="2">
    <mergeCell ref="D6:G6"/>
    <mergeCell ref="D8:G8"/>
  </mergeCells>
  <phoneticPr fontId="1" type="noConversion"/>
  <pageMargins left="0.39370078740157483" right="0" top="0.19685039370078741" bottom="0" header="0.31496062992125984" footer="0"/>
  <pageSetup paperSize="8"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BC292-FE4A-4867-B3F5-2F1850317E8B}">
  <sheetPr>
    <tabColor theme="4"/>
  </sheetPr>
  <dimension ref="A1:AO61"/>
  <sheetViews>
    <sheetView showGridLines="0" view="pageBreakPreview" zoomScaleNormal="100" zoomScaleSheetLayoutView="100" workbookViewId="0">
      <pane xSplit="3" ySplit="4" topLeftCell="H5" activePane="bottomRight" state="frozen"/>
      <selection activeCell="I22" sqref="I22"/>
      <selection pane="topRight" activeCell="I22" sqref="I22"/>
      <selection pane="bottomLeft" activeCell="I22" sqref="I22"/>
      <selection pane="bottomRight" activeCell="A17" sqref="A17"/>
    </sheetView>
  </sheetViews>
  <sheetFormatPr defaultRowHeight="13.5" outlineLevelCol="1" x14ac:dyDescent="0.35"/>
  <cols>
    <col min="1" max="1" width="2.53125" style="396" customWidth="1"/>
    <col min="2" max="2" width="27.46484375" style="14" customWidth="1"/>
    <col min="3" max="3" width="8.86328125" style="15" customWidth="1"/>
    <col min="4" max="7" width="9.06640625" style="14" hidden="1" customWidth="1" outlineLevel="1"/>
    <col min="8" max="8" width="9.06640625" style="14" collapsed="1"/>
    <col min="9" max="12" width="9.06640625" style="14" hidden="1" customWidth="1" outlineLevel="1"/>
    <col min="13" max="13" width="9.1328125" style="14" customWidth="1" collapsed="1"/>
    <col min="14" max="17" width="9.06640625" style="14" hidden="1" customWidth="1" outlineLevel="1"/>
    <col min="18" max="18" width="9.1328125" style="14" bestFit="1" customWidth="1" collapsed="1"/>
    <col min="19" max="22" width="9.06640625" style="14" hidden="1" customWidth="1" outlineLevel="1"/>
    <col min="23" max="23" width="9.1328125" style="14" bestFit="1" customWidth="1" collapsed="1"/>
    <col min="24" max="27" width="9.06640625" style="14" hidden="1" customWidth="1" outlineLevel="1"/>
    <col min="28" max="28" width="9.1328125" style="14" bestFit="1" customWidth="1" collapsed="1"/>
    <col min="29" max="32" width="9.06640625" style="14" customWidth="1" outlineLevel="1"/>
    <col min="33" max="33" width="9.33203125" style="14" bestFit="1" customWidth="1"/>
    <col min="34" max="37" width="9.06640625" style="14" customWidth="1" outlineLevel="1"/>
    <col min="38" max="38" width="9.06640625" style="14"/>
    <col min="39" max="39" width="3.06640625" style="14" customWidth="1"/>
    <col min="40" max="40" width="2.59765625" style="14" customWidth="1"/>
    <col min="41" max="16384" width="9.06640625" style="14"/>
  </cols>
  <sheetData>
    <row r="1" spans="1:41" s="6" customFormat="1" ht="17.649999999999999" x14ac:dyDescent="0.5">
      <c r="A1" s="389"/>
      <c r="B1" s="2" t="str">
        <f>Name</f>
        <v>Natera</v>
      </c>
      <c r="C1" s="11"/>
      <c r="D1" s="3"/>
      <c r="E1" s="3"/>
      <c r="F1" s="3"/>
      <c r="G1" s="3"/>
      <c r="H1" s="4"/>
      <c r="I1" s="3"/>
      <c r="J1" s="3"/>
      <c r="K1" s="3"/>
      <c r="L1" s="3"/>
      <c r="M1" s="3"/>
      <c r="N1" s="3"/>
      <c r="O1" s="3"/>
      <c r="P1" s="3"/>
      <c r="Q1" s="3"/>
      <c r="R1" s="3"/>
      <c r="S1" s="3"/>
      <c r="T1" s="3"/>
      <c r="U1" s="3"/>
      <c r="V1" s="3"/>
      <c r="W1" s="238"/>
      <c r="X1" s="3"/>
      <c r="Y1" s="3"/>
      <c r="Z1" s="3"/>
      <c r="AA1" s="3"/>
      <c r="AB1" s="3"/>
      <c r="AC1" s="3"/>
      <c r="AD1" s="3"/>
      <c r="AE1" s="3"/>
      <c r="AF1" s="3"/>
      <c r="AG1" s="3"/>
      <c r="AH1" s="3"/>
      <c r="AI1" s="3"/>
      <c r="AJ1" s="3"/>
      <c r="AK1" s="3"/>
      <c r="AL1" s="3"/>
    </row>
    <row r="2" spans="1:41" s="6" customFormat="1" ht="17.649999999999999" x14ac:dyDescent="0.5">
      <c r="A2" s="390"/>
      <c r="B2" s="8" t="s">
        <v>59</v>
      </c>
      <c r="C2" s="12"/>
    </row>
    <row r="3" spans="1:41" s="6" customFormat="1" ht="12.75" customHeight="1" x14ac:dyDescent="0.35">
      <c r="A3" s="391"/>
      <c r="B3" s="54"/>
      <c r="C3" s="55"/>
      <c r="D3" s="56" t="s">
        <v>2</v>
      </c>
      <c r="E3" s="56" t="s">
        <v>3</v>
      </c>
      <c r="F3" s="56" t="s">
        <v>4</v>
      </c>
      <c r="G3" s="56" t="s">
        <v>5</v>
      </c>
      <c r="H3" s="57">
        <v>2019</v>
      </c>
      <c r="I3" s="56" t="s">
        <v>7</v>
      </c>
      <c r="J3" s="56" t="s">
        <v>8</v>
      </c>
      <c r="K3" s="56" t="s">
        <v>9</v>
      </c>
      <c r="L3" s="56" t="s">
        <v>10</v>
      </c>
      <c r="M3" s="57">
        <v>2020</v>
      </c>
      <c r="N3" s="56" t="s">
        <v>23</v>
      </c>
      <c r="O3" s="56" t="s">
        <v>24</v>
      </c>
      <c r="P3" s="56" t="s">
        <v>25</v>
      </c>
      <c r="Q3" s="56" t="s">
        <v>26</v>
      </c>
      <c r="R3" s="57">
        <v>2021</v>
      </c>
      <c r="S3" s="56" t="s">
        <v>27</v>
      </c>
      <c r="T3" s="56" t="s">
        <v>28</v>
      </c>
      <c r="U3" s="56" t="s">
        <v>29</v>
      </c>
      <c r="V3" s="56" t="s">
        <v>30</v>
      </c>
      <c r="W3" s="57">
        <v>2022</v>
      </c>
      <c r="X3" s="56" t="s">
        <v>15</v>
      </c>
      <c r="Y3" s="56" t="s">
        <v>16</v>
      </c>
      <c r="Z3" s="56" t="s">
        <v>17</v>
      </c>
      <c r="AA3" s="56" t="s">
        <v>18</v>
      </c>
      <c r="AB3" s="57">
        <v>2023</v>
      </c>
      <c r="AC3" s="56" t="s">
        <v>11</v>
      </c>
      <c r="AD3" s="56" t="s">
        <v>12</v>
      </c>
      <c r="AE3" s="56" t="s">
        <v>13</v>
      </c>
      <c r="AF3" s="56" t="s">
        <v>14</v>
      </c>
      <c r="AG3" s="57">
        <v>2024</v>
      </c>
      <c r="AH3" s="56" t="s">
        <v>19</v>
      </c>
      <c r="AI3" s="56" t="s">
        <v>20</v>
      </c>
      <c r="AJ3" s="56" t="s">
        <v>21</v>
      </c>
      <c r="AK3" s="56" t="s">
        <v>22</v>
      </c>
      <c r="AL3" s="57">
        <v>2025</v>
      </c>
      <c r="AO3" s="259" t="s">
        <v>250</v>
      </c>
    </row>
    <row r="4" spans="1:41" s="16" customFormat="1" ht="12.75" customHeight="1" x14ac:dyDescent="0.35">
      <c r="A4" s="392"/>
      <c r="B4" s="60" t="str">
        <f>Subheader</f>
        <v>$ in millions, except test volumes, TAM, and per share amounts</v>
      </c>
      <c r="C4" s="61"/>
      <c r="D4" s="62" t="s">
        <v>1</v>
      </c>
      <c r="E4" s="62" t="s">
        <v>1</v>
      </c>
      <c r="F4" s="62" t="s">
        <v>1</v>
      </c>
      <c r="G4" s="62" t="s">
        <v>1</v>
      </c>
      <c r="H4" s="63" t="s">
        <v>1</v>
      </c>
      <c r="I4" s="62" t="s">
        <v>1</v>
      </c>
      <c r="J4" s="62" t="s">
        <v>1</v>
      </c>
      <c r="K4" s="62" t="s">
        <v>1</v>
      </c>
      <c r="L4" s="62" t="s">
        <v>1</v>
      </c>
      <c r="M4" s="63" t="s">
        <v>1</v>
      </c>
      <c r="N4" s="62" t="s">
        <v>1</v>
      </c>
      <c r="O4" s="62" t="s">
        <v>1</v>
      </c>
      <c r="P4" s="62" t="s">
        <v>1</v>
      </c>
      <c r="Q4" s="62" t="s">
        <v>1</v>
      </c>
      <c r="R4" s="63" t="s">
        <v>1</v>
      </c>
      <c r="S4" s="62" t="s">
        <v>1</v>
      </c>
      <c r="T4" s="62" t="s">
        <v>1</v>
      </c>
      <c r="U4" s="62" t="s">
        <v>1</v>
      </c>
      <c r="V4" s="62" t="s">
        <v>1</v>
      </c>
      <c r="W4" s="63" t="s">
        <v>1</v>
      </c>
      <c r="X4" s="62" t="s">
        <v>1</v>
      </c>
      <c r="Y4" s="62" t="s">
        <v>1</v>
      </c>
      <c r="Z4" s="62" t="s">
        <v>1</v>
      </c>
      <c r="AA4" s="62" t="s">
        <v>1</v>
      </c>
      <c r="AB4" s="63" t="s">
        <v>1</v>
      </c>
      <c r="AC4" s="62" t="s">
        <v>1</v>
      </c>
      <c r="AD4" s="62" t="s">
        <v>6</v>
      </c>
      <c r="AE4" s="62" t="s">
        <v>6</v>
      </c>
      <c r="AF4" s="62" t="s">
        <v>6</v>
      </c>
      <c r="AG4" s="63" t="s">
        <v>6</v>
      </c>
      <c r="AH4" s="62" t="s">
        <v>6</v>
      </c>
      <c r="AI4" s="62" t="s">
        <v>6</v>
      </c>
      <c r="AJ4" s="62" t="s">
        <v>6</v>
      </c>
      <c r="AK4" s="62" t="s">
        <v>6</v>
      </c>
      <c r="AL4" s="63" t="s">
        <v>6</v>
      </c>
      <c r="AM4" s="6"/>
    </row>
    <row r="5" spans="1:41" s="51" customFormat="1" ht="14.65" customHeight="1" x14ac:dyDescent="0.35">
      <c r="A5" s="393"/>
      <c r="B5" s="229" t="s">
        <v>119</v>
      </c>
      <c r="C5" s="53"/>
      <c r="D5" s="73"/>
      <c r="E5" s="73"/>
      <c r="F5" s="73"/>
      <c r="G5" s="73"/>
      <c r="H5" s="74"/>
      <c r="I5" s="73"/>
      <c r="J5" s="73"/>
      <c r="K5" s="73"/>
      <c r="L5" s="73"/>
      <c r="M5" s="74"/>
      <c r="N5" s="73"/>
      <c r="O5" s="73"/>
      <c r="P5" s="73"/>
      <c r="Q5" s="73"/>
      <c r="R5" s="74"/>
      <c r="S5" s="73"/>
      <c r="T5" s="73"/>
      <c r="U5" s="73"/>
      <c r="V5" s="73"/>
      <c r="W5" s="74"/>
      <c r="X5" s="73"/>
      <c r="Y5" s="73"/>
      <c r="Z5" s="73"/>
      <c r="AA5" s="73"/>
      <c r="AB5" s="74"/>
      <c r="AC5" s="73"/>
      <c r="AD5" s="73"/>
      <c r="AE5" s="73"/>
      <c r="AF5" s="73"/>
      <c r="AG5" s="74"/>
      <c r="AH5" s="73"/>
      <c r="AI5" s="73"/>
      <c r="AJ5" s="73"/>
      <c r="AK5" s="73"/>
      <c r="AL5" s="74"/>
    </row>
    <row r="6" spans="1:41" s="71" customFormat="1" ht="11.65" x14ac:dyDescent="0.35">
      <c r="A6" s="394"/>
      <c r="B6" s="201" t="s">
        <v>120</v>
      </c>
      <c r="C6" s="66"/>
      <c r="D6" s="67"/>
      <c r="E6" s="67"/>
      <c r="F6" s="67"/>
      <c r="G6" s="67"/>
      <c r="H6" s="77"/>
      <c r="I6" s="69"/>
      <c r="J6" s="69"/>
      <c r="K6" s="69"/>
      <c r="L6" s="69"/>
      <c r="M6" s="68"/>
      <c r="N6" s="69"/>
      <c r="O6" s="69"/>
      <c r="P6" s="69"/>
      <c r="Q6" s="69"/>
      <c r="R6" s="68"/>
      <c r="S6" s="87"/>
      <c r="T6" s="87"/>
      <c r="U6" s="87"/>
      <c r="V6" s="87"/>
      <c r="W6" s="68"/>
      <c r="X6" s="87"/>
      <c r="Y6" s="87"/>
      <c r="Z6" s="87"/>
      <c r="AA6" s="87"/>
      <c r="AB6" s="68"/>
      <c r="AC6" s="69"/>
      <c r="AD6" s="87"/>
      <c r="AE6" s="87"/>
      <c r="AF6" s="87"/>
      <c r="AG6" s="68"/>
      <c r="AH6" s="87"/>
      <c r="AI6" s="87"/>
      <c r="AJ6" s="87"/>
      <c r="AK6" s="87"/>
      <c r="AL6" s="68"/>
    </row>
    <row r="7" spans="1:41" s="51" customFormat="1" ht="11.65" x14ac:dyDescent="0.35">
      <c r="A7" s="393"/>
      <c r="B7" s="223" t="s">
        <v>121</v>
      </c>
      <c r="C7" s="53"/>
      <c r="D7" s="303">
        <f>CF!D44+0.399</f>
        <v>34.675000000000004</v>
      </c>
      <c r="E7" s="304">
        <f>CF!E44+0.055</f>
        <v>29.934000000000015</v>
      </c>
      <c r="F7" s="304">
        <f>CF!F44+0.055</f>
        <v>51.627000000000017</v>
      </c>
      <c r="G7" s="304">
        <f>CF!G44+0.055</f>
        <v>61.963000000000029</v>
      </c>
      <c r="H7" s="94">
        <f>G7</f>
        <v>61.963000000000029</v>
      </c>
      <c r="I7" s="305">
        <f>CF!I44</f>
        <v>74.126000000000033</v>
      </c>
      <c r="J7" s="305">
        <f>CF!J44</f>
        <v>77.181000000000054</v>
      </c>
      <c r="K7" s="305">
        <f>CF!K44</f>
        <v>209.32300000000004</v>
      </c>
      <c r="L7" s="305">
        <f>CF!L44</f>
        <v>48.638999999999982</v>
      </c>
      <c r="M7" s="94">
        <f t="shared" ref="M7:M17" si="0">L7</f>
        <v>48.638999999999982</v>
      </c>
      <c r="N7" s="305">
        <f>CF!N44</f>
        <v>65.096999999999923</v>
      </c>
      <c r="O7" s="305">
        <f>CF!O44</f>
        <v>62.781999999999883</v>
      </c>
      <c r="P7" s="305">
        <f>CF!P44</f>
        <v>95.073999999999913</v>
      </c>
      <c r="Q7" s="305">
        <f>CF!Q44</f>
        <v>84.356999999999999</v>
      </c>
      <c r="R7" s="94">
        <f>Q7</f>
        <v>84.356999999999999</v>
      </c>
      <c r="S7" s="305">
        <f>CF!S44</f>
        <v>158.26899999999989</v>
      </c>
      <c r="T7" s="305">
        <f>CF!T44</f>
        <v>91.268999999999863</v>
      </c>
      <c r="U7" s="305">
        <f>CF!U44</f>
        <v>57.012999999999849</v>
      </c>
      <c r="V7" s="305">
        <f>CF!V44</f>
        <v>465.97599999999989</v>
      </c>
      <c r="W7" s="94">
        <f>V7</f>
        <v>465.97599999999989</v>
      </c>
      <c r="X7" s="305">
        <f>CF!X44</f>
        <v>403.03899999999987</v>
      </c>
      <c r="Y7" s="305">
        <f>CF!Y44</f>
        <v>380.99799999999982</v>
      </c>
      <c r="Z7" s="305">
        <f>CF!Z44</f>
        <v>668.59499999999991</v>
      </c>
      <c r="AA7" s="305">
        <f>CF!AA44</f>
        <v>641.98699999999985</v>
      </c>
      <c r="AB7" s="94">
        <f>AA7</f>
        <v>641.98699999999985</v>
      </c>
      <c r="AC7" s="305">
        <f>CF!AC44</f>
        <v>813.79499999999996</v>
      </c>
      <c r="AD7" s="305">
        <f>CF!AD44</f>
        <v>761.42359650728633</v>
      </c>
      <c r="AE7" s="305">
        <f>CF!AE44</f>
        <v>780.63693350370772</v>
      </c>
      <c r="AF7" s="305">
        <f>CF!AF44</f>
        <v>796.711261233644</v>
      </c>
      <c r="AG7" s="94">
        <f t="shared" ref="AG7:AG12" si="1">AF7</f>
        <v>796.711261233644</v>
      </c>
      <c r="AH7" s="305">
        <f>CF!AH44</f>
        <v>757.63036299571638</v>
      </c>
      <c r="AI7" s="305">
        <f>CF!AI44</f>
        <v>821.3377705528178</v>
      </c>
      <c r="AJ7" s="305">
        <f>CF!AJ44</f>
        <v>918.22846798775163</v>
      </c>
      <c r="AK7" s="305">
        <f>CF!AK44</f>
        <v>1013.8226050757704</v>
      </c>
      <c r="AL7" s="94">
        <f t="shared" ref="AL7:AL12" si="2">AK7</f>
        <v>1013.8226050757704</v>
      </c>
    </row>
    <row r="8" spans="1:41" s="71" customFormat="1" ht="11.65" x14ac:dyDescent="0.35">
      <c r="A8" s="397"/>
      <c r="B8" s="223" t="s">
        <v>122</v>
      </c>
      <c r="C8" s="66"/>
      <c r="D8" s="224">
        <v>93.805000000000007</v>
      </c>
      <c r="E8" s="102">
        <v>208.053</v>
      </c>
      <c r="F8" s="102">
        <v>186.7</v>
      </c>
      <c r="G8" s="102">
        <v>379.065</v>
      </c>
      <c r="H8" s="94">
        <f t="shared" ref="H8:H12" si="3">G8</f>
        <v>379.065</v>
      </c>
      <c r="I8" s="102">
        <v>331.68099999999998</v>
      </c>
      <c r="J8" s="102">
        <v>493.85199999999998</v>
      </c>
      <c r="K8" s="102">
        <v>600.20500000000004</v>
      </c>
      <c r="L8" s="102">
        <v>688.60599999999999</v>
      </c>
      <c r="M8" s="94">
        <f t="shared" si="0"/>
        <v>688.60599999999999</v>
      </c>
      <c r="N8" s="102">
        <v>588.44600000000003</v>
      </c>
      <c r="O8" s="102">
        <v>517.43200000000002</v>
      </c>
      <c r="P8" s="102">
        <v>928.596</v>
      </c>
      <c r="Q8" s="102">
        <v>829.89599999999996</v>
      </c>
      <c r="R8" s="94">
        <f t="shared" ref="R8:R12" si="4">Q8</f>
        <v>829.89599999999996</v>
      </c>
      <c r="S8" s="102">
        <v>593.66</v>
      </c>
      <c r="T8" s="102">
        <v>547.35299999999995</v>
      </c>
      <c r="U8" s="102">
        <v>464.11200000000002</v>
      </c>
      <c r="V8" s="102">
        <v>432.30099999999999</v>
      </c>
      <c r="W8" s="94">
        <f t="shared" ref="W8:W12" si="5">V8</f>
        <v>432.30099999999999</v>
      </c>
      <c r="X8" s="102">
        <v>408.858</v>
      </c>
      <c r="Y8" s="102">
        <v>354.82799999999997</v>
      </c>
      <c r="Z8" s="102">
        <v>267.84699999999998</v>
      </c>
      <c r="AA8" s="102">
        <f>236.882</f>
        <v>236.88200000000001</v>
      </c>
      <c r="AB8" s="94">
        <f t="shared" ref="AB8:AB12" si="6">AA8</f>
        <v>236.88200000000001</v>
      </c>
      <c r="AC8" s="102">
        <v>69.120999999999995</v>
      </c>
      <c r="AD8" s="102">
        <f t="shared" ref="AD8:AF9" si="7">AC8</f>
        <v>69.120999999999995</v>
      </c>
      <c r="AE8" s="228">
        <f t="shared" si="7"/>
        <v>69.120999999999995</v>
      </c>
      <c r="AF8" s="228">
        <f t="shared" si="7"/>
        <v>69.120999999999995</v>
      </c>
      <c r="AG8" s="94">
        <f t="shared" si="1"/>
        <v>69.120999999999995</v>
      </c>
      <c r="AH8" s="228">
        <v>50</v>
      </c>
      <c r="AI8" s="228">
        <v>30</v>
      </c>
      <c r="AJ8" s="228">
        <v>20</v>
      </c>
      <c r="AK8" s="228">
        <v>10</v>
      </c>
      <c r="AL8" s="94">
        <f t="shared" si="2"/>
        <v>10</v>
      </c>
    </row>
    <row r="9" spans="1:41" s="51" customFormat="1" ht="11.65" x14ac:dyDescent="0.35">
      <c r="A9" s="395"/>
      <c r="B9" s="223" t="s">
        <v>123</v>
      </c>
      <c r="C9" s="53"/>
      <c r="D9" s="224">
        <v>0</v>
      </c>
      <c r="E9" s="102">
        <v>0</v>
      </c>
      <c r="F9" s="102">
        <v>0</v>
      </c>
      <c r="G9" s="102">
        <v>0</v>
      </c>
      <c r="H9" s="94">
        <f t="shared" si="3"/>
        <v>0</v>
      </c>
      <c r="I9" s="102">
        <v>5.5E-2</v>
      </c>
      <c r="J9" s="102">
        <v>5.5E-2</v>
      </c>
      <c r="K9" s="102">
        <v>0.17799999999999999</v>
      </c>
      <c r="L9" s="102">
        <v>0.187</v>
      </c>
      <c r="M9" s="94">
        <f t="shared" si="0"/>
        <v>0.187</v>
      </c>
      <c r="N9" s="102">
        <v>0.16300000000000001</v>
      </c>
      <c r="O9" s="102">
        <v>0.22800000000000001</v>
      </c>
      <c r="P9" s="102">
        <v>0.22800000000000001</v>
      </c>
      <c r="Q9" s="102">
        <v>0.22800000000000001</v>
      </c>
      <c r="R9" s="94">
        <f t="shared" si="4"/>
        <v>0.22800000000000001</v>
      </c>
      <c r="S9" s="102">
        <v>0.22800000000000001</v>
      </c>
      <c r="T9" s="102">
        <v>8.5999999999999993E-2</v>
      </c>
      <c r="U9" s="102">
        <v>8.5999999999999993E-2</v>
      </c>
      <c r="V9" s="102">
        <v>8.5999999999999993E-2</v>
      </c>
      <c r="W9" s="94">
        <f t="shared" si="5"/>
        <v>8.5999999999999993E-2</v>
      </c>
      <c r="X9" s="102">
        <v>8.5999999999999993E-2</v>
      </c>
      <c r="Y9" s="102">
        <v>8.5999999999999993E-2</v>
      </c>
      <c r="Z9" s="102">
        <v>8.5999999999999993E-2</v>
      </c>
      <c r="AA9" s="102">
        <v>8.5999999999999993E-2</v>
      </c>
      <c r="AB9" s="94">
        <f t="shared" si="6"/>
        <v>8.5999999999999993E-2</v>
      </c>
      <c r="AC9" s="102">
        <v>0</v>
      </c>
      <c r="AD9" s="102">
        <f t="shared" si="7"/>
        <v>0</v>
      </c>
      <c r="AE9" s="228">
        <f t="shared" si="7"/>
        <v>0</v>
      </c>
      <c r="AF9" s="228">
        <f t="shared" si="7"/>
        <v>0</v>
      </c>
      <c r="AG9" s="94">
        <f t="shared" si="1"/>
        <v>0</v>
      </c>
      <c r="AH9" s="228">
        <f>AF9</f>
        <v>0</v>
      </c>
      <c r="AI9" s="228">
        <f>AH9</f>
        <v>0</v>
      </c>
      <c r="AJ9" s="228">
        <f>AI9</f>
        <v>0</v>
      </c>
      <c r="AK9" s="228">
        <f>AJ9</f>
        <v>0</v>
      </c>
      <c r="AL9" s="94">
        <f t="shared" si="2"/>
        <v>0</v>
      </c>
    </row>
    <row r="10" spans="1:41" s="51" customFormat="1" ht="11.65" x14ac:dyDescent="0.35">
      <c r="A10" s="395"/>
      <c r="B10" s="223" t="s">
        <v>124</v>
      </c>
      <c r="C10" s="53"/>
      <c r="D10" s="225">
        <v>60.292999999999999</v>
      </c>
      <c r="E10" s="226">
        <v>62.973999999999997</v>
      </c>
      <c r="F10" s="226">
        <v>58.905000000000001</v>
      </c>
      <c r="G10" s="102">
        <v>53.350999999999999</v>
      </c>
      <c r="H10" s="94">
        <f t="shared" si="3"/>
        <v>53.350999999999999</v>
      </c>
      <c r="I10" s="226">
        <v>61.576999999999998</v>
      </c>
      <c r="J10" s="226">
        <v>58.706000000000003</v>
      </c>
      <c r="K10" s="226">
        <v>70.674000000000007</v>
      </c>
      <c r="L10" s="102">
        <v>78.564999999999998</v>
      </c>
      <c r="M10" s="94">
        <f t="shared" si="0"/>
        <v>78.564999999999998</v>
      </c>
      <c r="N10" s="226">
        <v>87.561999999999998</v>
      </c>
      <c r="O10" s="226">
        <v>100.13</v>
      </c>
      <c r="P10" s="226">
        <v>110.416</v>
      </c>
      <c r="Q10" s="102">
        <v>122.074</v>
      </c>
      <c r="R10" s="94">
        <f t="shared" si="4"/>
        <v>122.074</v>
      </c>
      <c r="S10" s="226">
        <v>167.86199999999999</v>
      </c>
      <c r="T10" s="226">
        <v>208.31200000000001</v>
      </c>
      <c r="U10" s="226">
        <v>236.36199999999999</v>
      </c>
      <c r="V10" s="102">
        <v>244.38499999999999</v>
      </c>
      <c r="W10" s="94">
        <f t="shared" si="5"/>
        <v>244.38499999999999</v>
      </c>
      <c r="X10" s="226">
        <v>246.785</v>
      </c>
      <c r="Y10" s="226">
        <v>260.065</v>
      </c>
      <c r="Z10" s="226">
        <v>255.14699999999999</v>
      </c>
      <c r="AA10" s="102">
        <f>278.289</f>
        <v>278.28899999999999</v>
      </c>
      <c r="AB10" s="94">
        <f t="shared" si="6"/>
        <v>278.28899999999999</v>
      </c>
      <c r="AC10" s="226">
        <v>288.74799999999999</v>
      </c>
      <c r="AD10" s="227">
        <f>(IS!AD9*BS!AD47)/(365/4)</f>
        <v>307.13697225326723</v>
      </c>
      <c r="AE10" s="227">
        <f>(IS!AE9*BS!AE47)/(365/4)</f>
        <v>263.08624127269889</v>
      </c>
      <c r="AF10" s="227">
        <f>(IS!AF9*BS!AF47)/(365/4)</f>
        <v>245.9133284025647</v>
      </c>
      <c r="AG10" s="94">
        <f t="shared" si="1"/>
        <v>245.9133284025647</v>
      </c>
      <c r="AH10" s="227">
        <f>(IS!AH9*BS!AH47)/(365/4)</f>
        <v>312.87936131506854</v>
      </c>
      <c r="AI10" s="227">
        <f>(IS!AI9*BS!AI47)/(365/4)</f>
        <v>304.86321406260743</v>
      </c>
      <c r="AJ10" s="227">
        <f>(IS!AJ9*BS!AJ47)/(365/4)</f>
        <v>264.00857953497973</v>
      </c>
      <c r="AK10" s="228">
        <f>(IS!AK9*BS!AK47)/(365/4)</f>
        <v>249.81490276758652</v>
      </c>
      <c r="AL10" s="94">
        <f t="shared" si="2"/>
        <v>249.81490276758652</v>
      </c>
    </row>
    <row r="11" spans="1:41" s="51" customFormat="1" ht="11.65" x14ac:dyDescent="0.35">
      <c r="A11" s="395"/>
      <c r="B11" s="223" t="s">
        <v>125</v>
      </c>
      <c r="C11" s="76"/>
      <c r="D11" s="225">
        <v>13.747999999999999</v>
      </c>
      <c r="E11" s="226">
        <v>15.236000000000001</v>
      </c>
      <c r="F11" s="226">
        <v>12.513999999999999</v>
      </c>
      <c r="G11" s="102">
        <v>12.394</v>
      </c>
      <c r="H11" s="94">
        <f t="shared" si="3"/>
        <v>12.394</v>
      </c>
      <c r="I11" s="226">
        <v>14.161</v>
      </c>
      <c r="J11" s="226">
        <v>18.033000000000001</v>
      </c>
      <c r="K11" s="226">
        <v>20.376999999999999</v>
      </c>
      <c r="L11" s="102">
        <v>20.030999999999999</v>
      </c>
      <c r="M11" s="94">
        <f t="shared" si="0"/>
        <v>20.030999999999999</v>
      </c>
      <c r="N11" s="226">
        <v>23.675999999999998</v>
      </c>
      <c r="O11" s="226">
        <v>28.408999999999999</v>
      </c>
      <c r="P11" s="226">
        <v>28.021999999999998</v>
      </c>
      <c r="Q11" s="102">
        <v>26.908999999999999</v>
      </c>
      <c r="R11" s="94">
        <f t="shared" si="4"/>
        <v>26.908999999999999</v>
      </c>
      <c r="S11" s="226">
        <v>25.047999999999998</v>
      </c>
      <c r="T11" s="226">
        <v>30.465</v>
      </c>
      <c r="U11" s="226">
        <v>40.427999999999997</v>
      </c>
      <c r="V11" s="102">
        <v>35.405999999999999</v>
      </c>
      <c r="W11" s="94">
        <f t="shared" si="5"/>
        <v>35.405999999999999</v>
      </c>
      <c r="X11" s="226">
        <v>40.683</v>
      </c>
      <c r="Y11" s="226">
        <v>42.688000000000002</v>
      </c>
      <c r="Z11" s="226">
        <v>42.076000000000001</v>
      </c>
      <c r="AA11" s="102">
        <f>40.759</f>
        <v>40.759</v>
      </c>
      <c r="AB11" s="94">
        <f t="shared" si="6"/>
        <v>40.759</v>
      </c>
      <c r="AC11" s="226">
        <v>43.024000000000001</v>
      </c>
      <c r="AD11" s="227">
        <f>(IS!AD10*BS!AD48)/(365/4)</f>
        <v>41.259099312550902</v>
      </c>
      <c r="AE11" s="227">
        <f>(IS!AE10*BS!AE48)/(365/4)</f>
        <v>37.329360467826731</v>
      </c>
      <c r="AF11" s="227">
        <f>(IS!AF10*BS!AF48)/(365/4)</f>
        <v>36.204483080340601</v>
      </c>
      <c r="AG11" s="94">
        <f t="shared" si="1"/>
        <v>36.204483080340601</v>
      </c>
      <c r="AH11" s="227">
        <f>(IS!AH10*BS!AH48)/(365/4)</f>
        <v>52.72160350684932</v>
      </c>
      <c r="AI11" s="227">
        <f>(IS!AI10*BS!AI48)/(365/4)</f>
        <v>53.093326130706544</v>
      </c>
      <c r="AJ11" s="227">
        <f>(IS!AJ10*BS!AJ48)/(365/4)</f>
        <v>50.587594129920376</v>
      </c>
      <c r="AK11" s="227">
        <f>(IS!AK10*BS!AK48)/(365/4)</f>
        <v>42.524337480897422</v>
      </c>
      <c r="AL11" s="94">
        <f t="shared" si="2"/>
        <v>42.524337480897422</v>
      </c>
    </row>
    <row r="12" spans="1:41" s="51" customFormat="1" ht="11.65" x14ac:dyDescent="0.35">
      <c r="A12" s="395"/>
      <c r="B12" s="223" t="s">
        <v>126</v>
      </c>
      <c r="C12" s="53"/>
      <c r="D12" s="225">
        <v>5.5549999999999997</v>
      </c>
      <c r="E12" s="226">
        <v>5.7210000000000001</v>
      </c>
      <c r="F12" s="226">
        <v>13.954000000000001</v>
      </c>
      <c r="G12" s="102">
        <v>16.376000000000001</v>
      </c>
      <c r="H12" s="94">
        <f t="shared" si="3"/>
        <v>16.376000000000001</v>
      </c>
      <c r="I12" s="226">
        <v>15.59</v>
      </c>
      <c r="J12" s="226">
        <v>15.536</v>
      </c>
      <c r="K12" s="226">
        <v>15.227</v>
      </c>
      <c r="L12" s="102">
        <v>26.606000000000002</v>
      </c>
      <c r="M12" s="94">
        <f t="shared" si="0"/>
        <v>26.606000000000002</v>
      </c>
      <c r="N12" s="226">
        <v>26.43</v>
      </c>
      <c r="O12" s="226">
        <v>30.878</v>
      </c>
      <c r="P12" s="226">
        <v>28.858000000000001</v>
      </c>
      <c r="Q12" s="102">
        <v>29.645</v>
      </c>
      <c r="R12" s="94">
        <f t="shared" si="4"/>
        <v>29.645</v>
      </c>
      <c r="S12" s="226">
        <v>35.130000000000003</v>
      </c>
      <c r="T12" s="226">
        <v>24.041</v>
      </c>
      <c r="U12" s="226">
        <v>31.599</v>
      </c>
      <c r="V12" s="102">
        <v>33.634</v>
      </c>
      <c r="W12" s="94">
        <f t="shared" si="5"/>
        <v>33.634</v>
      </c>
      <c r="X12" s="226">
        <v>29.988</v>
      </c>
      <c r="Y12" s="226">
        <v>26.818000000000001</v>
      </c>
      <c r="Z12" s="226">
        <v>33.496000000000002</v>
      </c>
      <c r="AA12" s="102">
        <f>60.524</f>
        <v>60.524000000000001</v>
      </c>
      <c r="AB12" s="94">
        <f t="shared" si="6"/>
        <v>60.524000000000001</v>
      </c>
      <c r="AC12" s="226">
        <v>46.734000000000002</v>
      </c>
      <c r="AD12" s="227">
        <f>AC12</f>
        <v>46.734000000000002</v>
      </c>
      <c r="AE12" s="227">
        <f>AD12</f>
        <v>46.734000000000002</v>
      </c>
      <c r="AF12" s="228">
        <f>AE12</f>
        <v>46.734000000000002</v>
      </c>
      <c r="AG12" s="94">
        <f t="shared" si="1"/>
        <v>46.734000000000002</v>
      </c>
      <c r="AH12" s="227">
        <f>AF12</f>
        <v>46.734000000000002</v>
      </c>
      <c r="AI12" s="227">
        <f>AH12</f>
        <v>46.734000000000002</v>
      </c>
      <c r="AJ12" s="227">
        <f>AI12</f>
        <v>46.734000000000002</v>
      </c>
      <c r="AK12" s="228">
        <f>AJ12</f>
        <v>46.734000000000002</v>
      </c>
      <c r="AL12" s="94">
        <f t="shared" si="2"/>
        <v>46.734000000000002</v>
      </c>
    </row>
    <row r="13" spans="1:41" s="51" customFormat="1" ht="11.65" x14ac:dyDescent="0.35">
      <c r="A13" s="395" t="s">
        <v>36</v>
      </c>
      <c r="B13" s="201" t="s">
        <v>159</v>
      </c>
      <c r="C13" s="53"/>
      <c r="D13" s="227">
        <f>SUM(D7:D12)</f>
        <v>208.07600000000002</v>
      </c>
      <c r="E13" s="227">
        <f t="shared" ref="E13:G13" si="8">SUM(E7:E12)</f>
        <v>321.91800000000001</v>
      </c>
      <c r="F13" s="227">
        <f t="shared" si="8"/>
        <v>323.7</v>
      </c>
      <c r="G13" s="228">
        <f t="shared" si="8"/>
        <v>523.149</v>
      </c>
      <c r="H13" s="94">
        <f>G13</f>
        <v>523.149</v>
      </c>
      <c r="I13" s="227">
        <f>SUM(I7:I12)</f>
        <v>497.19</v>
      </c>
      <c r="J13" s="227">
        <f t="shared" ref="J13" si="9">SUM(J7:J12)</f>
        <v>663.36299999999994</v>
      </c>
      <c r="K13" s="227">
        <f t="shared" ref="K13" si="10">SUM(K7:K12)</f>
        <v>915.98399999999992</v>
      </c>
      <c r="L13" s="228">
        <f t="shared" ref="L13" si="11">SUM(L7:L12)</f>
        <v>862.63400000000001</v>
      </c>
      <c r="M13" s="94">
        <f t="shared" si="0"/>
        <v>862.63400000000001</v>
      </c>
      <c r="N13" s="227">
        <f t="shared" ref="N13" si="12">SUM(N7:N12)</f>
        <v>791.37399999999991</v>
      </c>
      <c r="O13" s="227">
        <f t="shared" ref="O13" si="13">SUM(O7:O12)</f>
        <v>739.85899999999992</v>
      </c>
      <c r="P13" s="227">
        <f t="shared" ref="P13" si="14">SUM(P7:P12)</f>
        <v>1191.1939999999997</v>
      </c>
      <c r="Q13" s="228">
        <f t="shared" ref="Q13" si="15">SUM(Q7:Q12)</f>
        <v>1093.1089999999999</v>
      </c>
      <c r="R13" s="94">
        <f t="shared" ref="R13" si="16">Q13</f>
        <v>1093.1089999999999</v>
      </c>
      <c r="S13" s="227">
        <f t="shared" ref="S13" si="17">SUM(S7:S12)</f>
        <v>980.19699999999978</v>
      </c>
      <c r="T13" s="227">
        <f t="shared" ref="T13" si="18">SUM(T7:T12)</f>
        <v>901.52599999999995</v>
      </c>
      <c r="U13" s="227">
        <f t="shared" ref="U13" si="19">SUM(U7:U12)</f>
        <v>829.59999999999991</v>
      </c>
      <c r="V13" s="228">
        <f t="shared" ref="V13" si="20">SUM(V7:V12)</f>
        <v>1211.7879999999998</v>
      </c>
      <c r="W13" s="94">
        <f t="shared" ref="W13" si="21">V13</f>
        <v>1211.7879999999998</v>
      </c>
      <c r="X13" s="227">
        <f t="shared" ref="X13" si="22">SUM(X7:X12)</f>
        <v>1129.4390000000001</v>
      </c>
      <c r="Y13" s="227">
        <f t="shared" ref="Y13" si="23">SUM(Y7:Y12)</f>
        <v>1065.4829999999999</v>
      </c>
      <c r="Z13" s="227">
        <f t="shared" ref="Z13" si="24">SUM(Z7:Z12)</f>
        <v>1267.2470000000001</v>
      </c>
      <c r="AA13" s="227">
        <f t="shared" ref="AA13" si="25">SUM(AA7:AA12)</f>
        <v>1258.527</v>
      </c>
      <c r="AB13" s="94">
        <f t="shared" ref="AB13" si="26">SUM(AB7:AB12)</f>
        <v>1258.527</v>
      </c>
      <c r="AC13" s="227">
        <f t="shared" ref="AC13" si="27">SUM(AC7:AC12)</f>
        <v>1261.422</v>
      </c>
      <c r="AD13" s="227">
        <f t="shared" ref="AD13" si="28">SUM(AD7:AD12)</f>
        <v>1225.6746680731044</v>
      </c>
      <c r="AE13" s="227">
        <f t="shared" ref="AE13" si="29">SUM(AE7:AE12)</f>
        <v>1196.9075352442333</v>
      </c>
      <c r="AF13" s="227">
        <f t="shared" ref="AF13" si="30">SUM(AF7:AF12)</f>
        <v>1194.6840727165493</v>
      </c>
      <c r="AG13" s="94">
        <f t="shared" ref="AG13" si="31">SUM(AG7:AG12)</f>
        <v>1194.6840727165493</v>
      </c>
      <c r="AH13" s="227">
        <f t="shared" ref="AH13" si="32">SUM(AH7:AH12)</f>
        <v>1219.965327817634</v>
      </c>
      <c r="AI13" s="227">
        <f t="shared" ref="AI13" si="33">SUM(AI7:AI12)</f>
        <v>1256.0283107461316</v>
      </c>
      <c r="AJ13" s="227">
        <f t="shared" ref="AJ13" si="34">SUM(AJ7:AJ12)</f>
        <v>1299.5586416526517</v>
      </c>
      <c r="AK13" s="227">
        <f t="shared" ref="AK13" si="35">SUM(AK7:AK12)</f>
        <v>1362.8958453242542</v>
      </c>
      <c r="AL13" s="94">
        <f t="shared" ref="AL13" si="36">SUM(AL7:AL12)</f>
        <v>1362.8958453242542</v>
      </c>
    </row>
    <row r="14" spans="1:41" s="51" customFormat="1" ht="11.65" x14ac:dyDescent="0.35">
      <c r="A14" s="395"/>
      <c r="B14" s="201" t="s">
        <v>123</v>
      </c>
      <c r="C14" s="53"/>
      <c r="D14" s="226">
        <v>0</v>
      </c>
      <c r="E14" s="226">
        <v>0</v>
      </c>
      <c r="F14" s="226">
        <v>0</v>
      </c>
      <c r="G14" s="102">
        <v>0</v>
      </c>
      <c r="H14" s="94">
        <f>G14</f>
        <v>0</v>
      </c>
      <c r="I14" s="226">
        <v>0</v>
      </c>
      <c r="J14" s="226">
        <v>0</v>
      </c>
      <c r="K14" s="226">
        <v>0</v>
      </c>
      <c r="L14" s="102">
        <v>0</v>
      </c>
      <c r="M14" s="94">
        <f t="shared" si="0"/>
        <v>0</v>
      </c>
      <c r="N14" s="226">
        <f>L14</f>
        <v>0</v>
      </c>
      <c r="O14" s="226">
        <v>0</v>
      </c>
      <c r="P14" s="226">
        <v>0</v>
      </c>
      <c r="Q14" s="102">
        <v>0</v>
      </c>
      <c r="R14" s="94">
        <f>Q14</f>
        <v>0</v>
      </c>
      <c r="S14" s="226">
        <v>0</v>
      </c>
      <c r="T14" s="226">
        <v>0</v>
      </c>
      <c r="U14" s="226">
        <v>0</v>
      </c>
      <c r="V14" s="102">
        <v>0</v>
      </c>
      <c r="W14" s="94">
        <f>V14</f>
        <v>0</v>
      </c>
      <c r="X14" s="226">
        <v>0</v>
      </c>
      <c r="Y14" s="226">
        <v>0</v>
      </c>
      <c r="Z14" s="226">
        <v>0</v>
      </c>
      <c r="AA14" s="102">
        <v>0</v>
      </c>
      <c r="AB14" s="94">
        <f>AA14</f>
        <v>0</v>
      </c>
      <c r="AC14" s="226">
        <f>AA14</f>
        <v>0</v>
      </c>
      <c r="AD14" s="227">
        <f>AC14</f>
        <v>0</v>
      </c>
      <c r="AE14" s="227">
        <f>AD14</f>
        <v>0</v>
      </c>
      <c r="AF14" s="228">
        <f>AE14</f>
        <v>0</v>
      </c>
      <c r="AG14" s="94">
        <f>AF14</f>
        <v>0</v>
      </c>
      <c r="AH14" s="227">
        <f>AF14</f>
        <v>0</v>
      </c>
      <c r="AI14" s="227">
        <f>AH14</f>
        <v>0</v>
      </c>
      <c r="AJ14" s="227">
        <f>AI14</f>
        <v>0</v>
      </c>
      <c r="AK14" s="228">
        <f>AJ14</f>
        <v>0</v>
      </c>
      <c r="AL14" s="94">
        <f>AK14</f>
        <v>0</v>
      </c>
    </row>
    <row r="15" spans="1:41" s="51" customFormat="1" ht="11.65" x14ac:dyDescent="0.35">
      <c r="A15" s="395"/>
      <c r="B15" s="201" t="s">
        <v>160</v>
      </c>
      <c r="C15" s="53"/>
      <c r="D15" s="226">
        <v>23.302</v>
      </c>
      <c r="E15" s="226">
        <v>22.039000000000001</v>
      </c>
      <c r="F15" s="226">
        <v>19.027000000000001</v>
      </c>
      <c r="G15" s="102">
        <v>23.283000000000001</v>
      </c>
      <c r="H15" s="94">
        <f>G15</f>
        <v>23.283000000000001</v>
      </c>
      <c r="I15" s="226">
        <v>26.718</v>
      </c>
      <c r="J15" s="226">
        <v>25.925000000000001</v>
      </c>
      <c r="K15" s="226">
        <v>28.248999999999999</v>
      </c>
      <c r="L15" s="102">
        <v>33.347999999999999</v>
      </c>
      <c r="M15" s="94">
        <f t="shared" si="0"/>
        <v>33.347999999999999</v>
      </c>
      <c r="N15" s="226">
        <v>40.177</v>
      </c>
      <c r="O15" s="226">
        <v>48.884</v>
      </c>
      <c r="P15" s="226">
        <v>59.292999999999999</v>
      </c>
      <c r="Q15" s="102">
        <v>65.516000000000005</v>
      </c>
      <c r="R15" s="94">
        <f t="shared" ref="R15:R16" si="37">Q15</f>
        <v>65.516000000000005</v>
      </c>
      <c r="S15" s="226">
        <v>78.361000000000004</v>
      </c>
      <c r="T15" s="226">
        <v>81.772000000000006</v>
      </c>
      <c r="U15" s="226">
        <v>87.486000000000004</v>
      </c>
      <c r="V15" s="102">
        <v>92.453000000000003</v>
      </c>
      <c r="W15" s="94">
        <f t="shared" ref="W15:W16" si="38">V15</f>
        <v>92.453000000000003</v>
      </c>
      <c r="X15" s="226">
        <v>100.587</v>
      </c>
      <c r="Y15" s="226">
        <v>102.92100000000001</v>
      </c>
      <c r="Z15" s="226">
        <v>104.83</v>
      </c>
      <c r="AA15" s="102">
        <f>111.21</f>
        <v>111.21</v>
      </c>
      <c r="AB15" s="94">
        <f>AA15</f>
        <v>111.21</v>
      </c>
      <c r="AC15" s="226">
        <v>125.791</v>
      </c>
      <c r="AD15" s="226">
        <f>AC15+AD53-AD55+AD57</f>
        <v>138.96060317583962</v>
      </c>
      <c r="AE15" s="226">
        <f>AD15+AE53-AE55+AE57</f>
        <v>151.40262839438006</v>
      </c>
      <c r="AF15" s="226">
        <f>AE15+AF53-AF55+AF57</f>
        <v>164.58315224564549</v>
      </c>
      <c r="AG15" s="94">
        <f>AF15</f>
        <v>164.58315224564549</v>
      </c>
      <c r="AH15" s="226">
        <f>AG15+AH53-AH55+AH57</f>
        <v>164.58315224564549</v>
      </c>
      <c r="AI15" s="226">
        <f>AH15+AI53-AI55+AI57</f>
        <v>164.58315224564549</v>
      </c>
      <c r="AJ15" s="226">
        <f>AI15+AJ53-AJ55+AJ57</f>
        <v>164.58315224564549</v>
      </c>
      <c r="AK15" s="226">
        <f>AJ15+AK53-AK55+AK57</f>
        <v>164.58315224564552</v>
      </c>
      <c r="AL15" s="94">
        <f>AK15</f>
        <v>164.58315224564552</v>
      </c>
      <c r="AN15" s="90" t="s">
        <v>234</v>
      </c>
      <c r="AO15" s="90" t="s">
        <v>236</v>
      </c>
    </row>
    <row r="16" spans="1:41" s="51" customFormat="1" ht="11.65" x14ac:dyDescent="0.35">
      <c r="A16" s="395"/>
      <c r="B16" s="201" t="s">
        <v>161</v>
      </c>
      <c r="C16" s="53"/>
      <c r="D16" s="226">
        <f>2.802+27.26</f>
        <v>30.062000000000001</v>
      </c>
      <c r="E16" s="226">
        <f>26.229+13.091</f>
        <v>39.32</v>
      </c>
      <c r="F16" s="226">
        <f>24.807+12.679</f>
        <v>37.485999999999997</v>
      </c>
      <c r="G16" s="102">
        <f>12.476+23.73</f>
        <v>36.206000000000003</v>
      </c>
      <c r="H16" s="94">
        <f>G16</f>
        <v>36.206000000000003</v>
      </c>
      <c r="I16" s="226">
        <f>12.093+22.62</f>
        <v>34.713000000000001</v>
      </c>
      <c r="J16" s="226">
        <f>12.357+21.475</f>
        <v>33.832000000000001</v>
      </c>
      <c r="K16" s="226">
        <f>20.296+12.156</f>
        <v>32.451999999999998</v>
      </c>
      <c r="L16" s="102">
        <f>14.743+21.399</f>
        <v>36.142000000000003</v>
      </c>
      <c r="M16" s="94">
        <f t="shared" si="0"/>
        <v>36.142000000000003</v>
      </c>
      <c r="N16" s="226">
        <f>49.526+12.406</f>
        <v>61.932000000000002</v>
      </c>
      <c r="O16" s="226">
        <f>48.337+12.847</f>
        <v>61.184000000000005</v>
      </c>
      <c r="P16" s="226">
        <f>13.202+47.656</f>
        <v>60.857999999999997</v>
      </c>
      <c r="Q16" s="102">
        <f>59.013+18.82</f>
        <v>77.832999999999998</v>
      </c>
      <c r="R16" s="94">
        <f t="shared" si="37"/>
        <v>77.832999999999998</v>
      </c>
      <c r="S16" s="226">
        <f>64.401+21.676</f>
        <v>86.076999999999998</v>
      </c>
      <c r="T16" s="226">
        <f>62.147+21.502</f>
        <v>83.649000000000001</v>
      </c>
      <c r="U16" s="226">
        <f>18.206+73.791</f>
        <v>91.997</v>
      </c>
      <c r="V16" s="102">
        <f>71.874+18.33</f>
        <v>90.203999999999994</v>
      </c>
      <c r="W16" s="94">
        <f t="shared" si="38"/>
        <v>90.203999999999994</v>
      </c>
      <c r="X16" s="226">
        <f>69.537+19.288</f>
        <v>88.825000000000003</v>
      </c>
      <c r="Y16" s="226">
        <f>61.942+17.518</f>
        <v>79.460000000000008</v>
      </c>
      <c r="Z16" s="226">
        <f>16.208+58.206</f>
        <v>74.414000000000001</v>
      </c>
      <c r="AA16" s="102">
        <f>56.537+15.403</f>
        <v>71.94</v>
      </c>
      <c r="AB16" s="94">
        <f>AA16</f>
        <v>71.94</v>
      </c>
      <c r="AC16" s="226">
        <f>54.553+26.417</f>
        <v>80.97</v>
      </c>
      <c r="AD16" s="226">
        <f>AC16</f>
        <v>80.97</v>
      </c>
      <c r="AE16" s="231">
        <f>AD16</f>
        <v>80.97</v>
      </c>
      <c r="AF16" s="236">
        <f>AE16</f>
        <v>80.97</v>
      </c>
      <c r="AG16" s="94">
        <f>AF16</f>
        <v>80.97</v>
      </c>
      <c r="AH16" s="227">
        <f>AG16</f>
        <v>80.97</v>
      </c>
      <c r="AI16" s="227">
        <f>AH16</f>
        <v>80.97</v>
      </c>
      <c r="AJ16" s="227">
        <f>AI16</f>
        <v>80.97</v>
      </c>
      <c r="AK16" s="228">
        <f>AJ16</f>
        <v>80.97</v>
      </c>
      <c r="AL16" s="94">
        <f>AK16</f>
        <v>80.97</v>
      </c>
      <c r="AN16" s="90" t="s">
        <v>36</v>
      </c>
      <c r="AO16" s="90" t="s">
        <v>168</v>
      </c>
    </row>
    <row r="17" spans="1:41" s="73" customFormat="1" ht="11.65" x14ac:dyDescent="0.35">
      <c r="A17" s="395" t="s">
        <v>36</v>
      </c>
      <c r="B17" s="205" t="s">
        <v>127</v>
      </c>
      <c r="C17" s="76"/>
      <c r="D17" s="73">
        <f>D13+SUM(D14:D16)</f>
        <v>261.44000000000005</v>
      </c>
      <c r="E17" s="73">
        <f>E13+SUM(E14:E16)</f>
        <v>383.27699999999999</v>
      </c>
      <c r="F17" s="73">
        <f>F13+SUM(F14:F16)</f>
        <v>380.21299999999997</v>
      </c>
      <c r="G17" s="73">
        <f>G13+SUM(G14:G16)</f>
        <v>582.63800000000003</v>
      </c>
      <c r="H17" s="74">
        <f>G17</f>
        <v>582.63800000000003</v>
      </c>
      <c r="I17" s="73">
        <f>I13+SUM(I14:I16)</f>
        <v>558.62099999999998</v>
      </c>
      <c r="J17" s="73">
        <f t="shared" ref="J17:L17" si="39">J13+SUM(J14:J16)</f>
        <v>723.11999999999989</v>
      </c>
      <c r="K17" s="73">
        <f t="shared" si="39"/>
        <v>976.68499999999995</v>
      </c>
      <c r="L17" s="73">
        <f t="shared" si="39"/>
        <v>932.12400000000002</v>
      </c>
      <c r="M17" s="74">
        <f t="shared" si="0"/>
        <v>932.12400000000002</v>
      </c>
      <c r="N17" s="73">
        <f t="shared" ref="N17" si="40">N13+SUM(N14:N16)</f>
        <v>893.48299999999995</v>
      </c>
      <c r="O17" s="73">
        <f t="shared" ref="O17" si="41">O13+SUM(O14:O16)</f>
        <v>849.92699999999991</v>
      </c>
      <c r="P17" s="73">
        <f t="shared" ref="P17" si="42">P13+SUM(P14:P16)</f>
        <v>1311.3449999999998</v>
      </c>
      <c r="Q17" s="73">
        <f t="shared" ref="Q17" si="43">Q13+SUM(Q14:Q16)</f>
        <v>1236.4579999999999</v>
      </c>
      <c r="R17" s="74">
        <f t="shared" ref="R17" si="44">Q17</f>
        <v>1236.4579999999999</v>
      </c>
      <c r="S17" s="73">
        <f t="shared" ref="S17" si="45">S13+SUM(S14:S16)</f>
        <v>1144.6349999999998</v>
      </c>
      <c r="T17" s="73">
        <f t="shared" ref="T17" si="46">T13+SUM(T14:T16)</f>
        <v>1066.9469999999999</v>
      </c>
      <c r="U17" s="73">
        <f t="shared" ref="U17" si="47">U13+SUM(U14:U16)</f>
        <v>1009.0829999999999</v>
      </c>
      <c r="V17" s="73">
        <f t="shared" ref="V17" si="48">V13+SUM(V14:V16)</f>
        <v>1394.4449999999997</v>
      </c>
      <c r="W17" s="74">
        <f t="shared" ref="W17" si="49">V17</f>
        <v>1394.4449999999997</v>
      </c>
      <c r="X17" s="73">
        <f t="shared" ref="X17" si="50">X13+SUM(X14:X16)</f>
        <v>1318.8510000000001</v>
      </c>
      <c r="Y17" s="73">
        <f t="shared" ref="Y17" si="51">Y13+SUM(Y14:Y16)</f>
        <v>1247.864</v>
      </c>
      <c r="Z17" s="73">
        <f t="shared" ref="Z17" si="52">Z13+SUM(Z14:Z16)</f>
        <v>1446.491</v>
      </c>
      <c r="AA17" s="73">
        <f t="shared" ref="AA17" si="53">AA13+SUM(AA14:AA16)</f>
        <v>1441.6770000000001</v>
      </c>
      <c r="AB17" s="74">
        <f t="shared" ref="AB17" si="54">AA17</f>
        <v>1441.6770000000001</v>
      </c>
      <c r="AC17" s="73">
        <f t="shared" ref="AC17" si="55">AC13+SUM(AC14:AC16)</f>
        <v>1468.183</v>
      </c>
      <c r="AD17" s="73">
        <f t="shared" ref="AD17" si="56">AD13+SUM(AD14:AD16)</f>
        <v>1445.6052712489441</v>
      </c>
      <c r="AE17" s="73">
        <f t="shared" ref="AE17" si="57">AE13+SUM(AE14:AE16)</f>
        <v>1429.2801636386134</v>
      </c>
      <c r="AF17" s="73">
        <f t="shared" ref="AF17" si="58">AF13+SUM(AF14:AF16)</f>
        <v>1440.2372249621949</v>
      </c>
      <c r="AG17" s="74">
        <f t="shared" ref="AG17" si="59">AF17</f>
        <v>1440.2372249621949</v>
      </c>
      <c r="AH17" s="73">
        <f t="shared" ref="AH17" si="60">AH13+SUM(AH14:AH16)</f>
        <v>1465.5184800632796</v>
      </c>
      <c r="AI17" s="73">
        <f t="shared" ref="AI17" si="61">AI13+SUM(AI14:AI16)</f>
        <v>1501.5814629917772</v>
      </c>
      <c r="AJ17" s="73">
        <f t="shared" ref="AJ17" si="62">AJ13+SUM(AJ14:AJ16)</f>
        <v>1545.111793898297</v>
      </c>
      <c r="AK17" s="73">
        <f t="shared" ref="AK17" si="63">AK13+SUM(AK14:AK16)</f>
        <v>1608.4489975698998</v>
      </c>
      <c r="AL17" s="94">
        <f t="shared" ref="AL17" si="64">AK17</f>
        <v>1608.4489975698998</v>
      </c>
      <c r="AN17" s="235"/>
      <c r="AO17" s="235"/>
    </row>
    <row r="18" spans="1:41" s="51" customFormat="1" ht="11.65" x14ac:dyDescent="0.35">
      <c r="A18" s="395"/>
      <c r="B18" s="201"/>
      <c r="C18" s="53"/>
      <c r="D18" s="93"/>
      <c r="E18" s="93"/>
      <c r="F18" s="93"/>
      <c r="G18" s="93"/>
      <c r="H18" s="94"/>
      <c r="I18" s="93"/>
      <c r="J18" s="93"/>
      <c r="K18" s="93"/>
      <c r="L18" s="93"/>
      <c r="M18" s="94"/>
      <c r="N18" s="93"/>
      <c r="O18" s="93"/>
      <c r="P18" s="93"/>
      <c r="Q18" s="93"/>
      <c r="R18" s="94"/>
      <c r="S18" s="93"/>
      <c r="T18" s="93"/>
      <c r="U18" s="93"/>
      <c r="V18" s="93"/>
      <c r="W18" s="94"/>
      <c r="X18" s="93"/>
      <c r="Y18" s="93"/>
      <c r="Z18" s="93"/>
      <c r="AA18" s="93"/>
      <c r="AB18" s="94"/>
      <c r="AC18" s="93"/>
      <c r="AD18" s="93"/>
      <c r="AE18" s="93"/>
      <c r="AF18" s="93"/>
      <c r="AG18" s="94"/>
      <c r="AH18" s="93"/>
      <c r="AI18" s="93"/>
      <c r="AJ18" s="93"/>
      <c r="AK18" s="93"/>
      <c r="AL18" s="94"/>
      <c r="AN18" s="90"/>
      <c r="AO18" s="90"/>
    </row>
    <row r="19" spans="1:41" s="51" customFormat="1" ht="11.65" x14ac:dyDescent="0.35">
      <c r="A19" s="395"/>
      <c r="B19" s="230" t="s">
        <v>128</v>
      </c>
      <c r="C19" s="76"/>
      <c r="D19" s="100"/>
      <c r="E19" s="100"/>
      <c r="F19" s="100"/>
      <c r="G19" s="100"/>
      <c r="H19" s="101"/>
      <c r="I19" s="100"/>
      <c r="J19" s="100"/>
      <c r="K19" s="100"/>
      <c r="L19" s="100"/>
      <c r="M19" s="101"/>
      <c r="N19" s="100"/>
      <c r="O19" s="100"/>
      <c r="P19" s="100"/>
      <c r="Q19" s="100"/>
      <c r="R19" s="101"/>
      <c r="S19" s="100"/>
      <c r="T19" s="100"/>
      <c r="U19" s="100"/>
      <c r="V19" s="100"/>
      <c r="W19" s="101"/>
      <c r="X19" s="100"/>
      <c r="Y19" s="100"/>
      <c r="Z19" s="100"/>
      <c r="AA19" s="100"/>
      <c r="AB19" s="101"/>
      <c r="AC19" s="100"/>
      <c r="AD19" s="100"/>
      <c r="AE19" s="100"/>
      <c r="AF19" s="100"/>
      <c r="AG19" s="101"/>
      <c r="AH19" s="100"/>
      <c r="AI19" s="100"/>
      <c r="AJ19" s="100"/>
      <c r="AK19" s="100"/>
      <c r="AL19" s="101"/>
      <c r="AM19" s="93"/>
      <c r="AN19" s="99"/>
      <c r="AO19" s="90"/>
    </row>
    <row r="20" spans="1:41" s="51" customFormat="1" ht="11.65" x14ac:dyDescent="0.35">
      <c r="A20" s="395"/>
      <c r="B20" s="201" t="s">
        <v>142</v>
      </c>
      <c r="C20" s="53"/>
      <c r="H20" s="75"/>
      <c r="M20" s="75"/>
      <c r="R20" s="75"/>
      <c r="W20" s="75"/>
      <c r="AB20" s="75"/>
      <c r="AG20" s="75"/>
      <c r="AL20" s="75"/>
      <c r="AN20" s="90"/>
      <c r="AO20" s="90"/>
    </row>
    <row r="21" spans="1:41" s="51" customFormat="1" ht="11.65" x14ac:dyDescent="0.35">
      <c r="A21" s="395"/>
      <c r="B21" s="223" t="s">
        <v>143</v>
      </c>
      <c r="C21" s="53"/>
      <c r="D21" s="225">
        <v>8.9169999999999998</v>
      </c>
      <c r="E21" s="226">
        <v>8.3190000000000008</v>
      </c>
      <c r="F21" s="226">
        <v>9.2360000000000007</v>
      </c>
      <c r="G21" s="102">
        <v>8.6039999999999992</v>
      </c>
      <c r="H21" s="103">
        <f>G21</f>
        <v>8.6039999999999992</v>
      </c>
      <c r="I21" s="226">
        <v>8.3689999999999998</v>
      </c>
      <c r="J21" s="226">
        <v>3.45</v>
      </c>
      <c r="K21" s="226">
        <v>9.25</v>
      </c>
      <c r="L21" s="102">
        <v>8.0960000000000001</v>
      </c>
      <c r="M21" s="103">
        <f>L21</f>
        <v>8.0960000000000001</v>
      </c>
      <c r="N21" s="226">
        <v>4.6820000000000004</v>
      </c>
      <c r="O21" s="226">
        <v>20.306999999999999</v>
      </c>
      <c r="P21" s="226">
        <v>8.1809999999999992</v>
      </c>
      <c r="Q21" s="102">
        <v>27.206</v>
      </c>
      <c r="R21" s="103">
        <f t="shared" ref="R21:R27" si="65">Q21</f>
        <v>27.206</v>
      </c>
      <c r="S21" s="226">
        <v>18.07</v>
      </c>
      <c r="T21" s="226">
        <v>28.192</v>
      </c>
      <c r="U21" s="226">
        <v>34.225000000000001</v>
      </c>
      <c r="V21" s="102">
        <v>31.148</v>
      </c>
      <c r="W21" s="103">
        <f>V21</f>
        <v>31.148</v>
      </c>
      <c r="X21" s="226">
        <v>36.122999999999998</v>
      </c>
      <c r="Y21" s="226">
        <v>21.106999999999999</v>
      </c>
      <c r="Z21" s="226">
        <v>21.321000000000002</v>
      </c>
      <c r="AA21" s="102">
        <v>14.997999999999999</v>
      </c>
      <c r="AB21" s="103">
        <f>AA21</f>
        <v>14.997999999999999</v>
      </c>
      <c r="AC21" s="226">
        <v>26.038</v>
      </c>
      <c r="AD21" s="227">
        <f>IS!AD10*BS!AD49/(365/4)</f>
        <v>17.938738831543873</v>
      </c>
      <c r="AE21" s="227">
        <f>IS!AE10*BS!AE49/(365/4)</f>
        <v>17.775885937060348</v>
      </c>
      <c r="AF21" s="227">
        <f>IS!AF10*BS!AF49/(365/4)</f>
        <v>16.292017386153269</v>
      </c>
      <c r="AG21" s="103">
        <f t="shared" ref="AG21:AG27" si="66">AF21</f>
        <v>16.292017386153269</v>
      </c>
      <c r="AH21" s="227">
        <f>IS!AH10*BS!AH49/(365/4)</f>
        <v>19.770601315068493</v>
      </c>
      <c r="AI21" s="227">
        <f>IS!AI10*BS!AI49/(365/4)</f>
        <v>18.378459045244572</v>
      </c>
      <c r="AJ21" s="227">
        <f>IS!AJ10*BS!AJ49/(365/4)</f>
        <v>18.211533886771338</v>
      </c>
      <c r="AK21" s="227">
        <f>IS!AK10*BS!AK49/(365/4)</f>
        <v>18.224716063241754</v>
      </c>
      <c r="AL21" s="103">
        <f>AK21</f>
        <v>18.224716063241754</v>
      </c>
      <c r="AN21" s="90" t="s">
        <v>36</v>
      </c>
      <c r="AO21" s="90" t="s">
        <v>235</v>
      </c>
    </row>
    <row r="22" spans="1:41" s="51" customFormat="1" ht="11.65" x14ac:dyDescent="0.35">
      <c r="A22" s="395"/>
      <c r="B22" s="223" t="s">
        <v>144</v>
      </c>
      <c r="C22" s="53"/>
      <c r="D22" s="225">
        <v>10.818</v>
      </c>
      <c r="E22" s="226">
        <v>10.148999999999999</v>
      </c>
      <c r="F22" s="226">
        <v>14.238</v>
      </c>
      <c r="G22" s="102">
        <v>16.088000000000001</v>
      </c>
      <c r="H22" s="103">
        <f t="shared" ref="H22:H28" si="67">G22</f>
        <v>16.088000000000001</v>
      </c>
      <c r="I22" s="226">
        <v>15.952999999999999</v>
      </c>
      <c r="J22" s="226">
        <v>16.582999999999998</v>
      </c>
      <c r="K22" s="226">
        <v>22.45</v>
      </c>
      <c r="L22" s="102">
        <v>30.370999999999999</v>
      </c>
      <c r="M22" s="103">
        <f t="shared" ref="M22:M27" si="68">L22</f>
        <v>30.370999999999999</v>
      </c>
      <c r="N22" s="226">
        <v>25.87</v>
      </c>
      <c r="O22" s="226">
        <v>30.841999999999999</v>
      </c>
      <c r="P22" s="226">
        <v>35.331000000000003</v>
      </c>
      <c r="Q22" s="102">
        <v>40.941000000000003</v>
      </c>
      <c r="R22" s="103">
        <f t="shared" si="65"/>
        <v>40.941000000000003</v>
      </c>
      <c r="S22" s="226">
        <v>32.396000000000001</v>
      </c>
      <c r="T22" s="226">
        <v>32.959000000000003</v>
      </c>
      <c r="U22" s="226">
        <v>42.225999999999999</v>
      </c>
      <c r="V22" s="102">
        <v>44.01</v>
      </c>
      <c r="W22" s="103">
        <f>V22</f>
        <v>44.01</v>
      </c>
      <c r="X22" s="226">
        <v>39.231000000000002</v>
      </c>
      <c r="Y22" s="226">
        <v>34.173999999999999</v>
      </c>
      <c r="Z22" s="226">
        <v>39.414999999999999</v>
      </c>
      <c r="AA22" s="102">
        <v>45.856999999999999</v>
      </c>
      <c r="AB22" s="103">
        <f>AA22</f>
        <v>45.856999999999999</v>
      </c>
      <c r="AC22" s="226">
        <v>39.576999999999998</v>
      </c>
      <c r="AD22" s="227">
        <f t="shared" ref="AD22:AF27" si="69">AC22</f>
        <v>39.576999999999998</v>
      </c>
      <c r="AE22" s="231">
        <f t="shared" si="69"/>
        <v>39.576999999999998</v>
      </c>
      <c r="AF22" s="236">
        <f t="shared" si="69"/>
        <v>39.576999999999998</v>
      </c>
      <c r="AG22" s="103">
        <f t="shared" si="66"/>
        <v>39.576999999999998</v>
      </c>
      <c r="AH22" s="227">
        <f t="shared" ref="AH22:AH27" si="70">AF22</f>
        <v>39.576999999999998</v>
      </c>
      <c r="AI22" s="227">
        <f t="shared" ref="AI22:AK27" si="71">AH22</f>
        <v>39.576999999999998</v>
      </c>
      <c r="AJ22" s="227">
        <f t="shared" si="71"/>
        <v>39.576999999999998</v>
      </c>
      <c r="AK22" s="228">
        <f t="shared" si="71"/>
        <v>39.576999999999998</v>
      </c>
      <c r="AL22" s="103">
        <f>AK22</f>
        <v>39.576999999999998</v>
      </c>
    </row>
    <row r="23" spans="1:41" s="51" customFormat="1" ht="11.65" x14ac:dyDescent="0.35">
      <c r="A23" s="395"/>
      <c r="B23" s="223" t="s">
        <v>145</v>
      </c>
      <c r="C23" s="53"/>
      <c r="D23" s="225">
        <v>37.838999999999999</v>
      </c>
      <c r="E23" s="226">
        <v>39.156999999999996</v>
      </c>
      <c r="F23" s="226">
        <v>38.701999999999998</v>
      </c>
      <c r="G23" s="102">
        <v>49.042999999999999</v>
      </c>
      <c r="H23" s="103">
        <f t="shared" si="67"/>
        <v>49.042999999999999</v>
      </c>
      <c r="I23" s="226">
        <v>50.393000000000001</v>
      </c>
      <c r="J23" s="226">
        <v>53.082000000000001</v>
      </c>
      <c r="K23" s="226">
        <v>62.893000000000001</v>
      </c>
      <c r="L23" s="102">
        <v>60.406999999999996</v>
      </c>
      <c r="M23" s="103">
        <f t="shared" si="68"/>
        <v>60.406999999999996</v>
      </c>
      <c r="N23" s="226">
        <v>77.296000000000006</v>
      </c>
      <c r="O23" s="226">
        <v>86.143000000000001</v>
      </c>
      <c r="P23" s="226">
        <v>96.486000000000004</v>
      </c>
      <c r="Q23" s="102">
        <v>93.352999999999994</v>
      </c>
      <c r="R23" s="103">
        <f t="shared" si="65"/>
        <v>93.352999999999994</v>
      </c>
      <c r="S23" s="226">
        <v>116.637</v>
      </c>
      <c r="T23" s="226">
        <v>124.372</v>
      </c>
      <c r="U23" s="226">
        <v>132.751</v>
      </c>
      <c r="V23" s="102">
        <v>144.214</v>
      </c>
      <c r="W23" s="103">
        <f t="shared" ref="W23:W27" si="72">V23</f>
        <v>144.214</v>
      </c>
      <c r="X23" s="226">
        <v>118.63800000000001</v>
      </c>
      <c r="Y23" s="226">
        <v>125.51300000000001</v>
      </c>
      <c r="Z23" s="226">
        <v>133.74</v>
      </c>
      <c r="AA23" s="102">
        <v>149.405</v>
      </c>
      <c r="AB23" s="103">
        <f t="shared" ref="AB23:AB27" si="73">AA23</f>
        <v>149.405</v>
      </c>
      <c r="AC23" s="226">
        <v>142.22800000000001</v>
      </c>
      <c r="AD23" s="227">
        <f t="shared" si="69"/>
        <v>142.22800000000001</v>
      </c>
      <c r="AE23" s="231">
        <f t="shared" si="69"/>
        <v>142.22800000000001</v>
      </c>
      <c r="AF23" s="236">
        <f t="shared" si="69"/>
        <v>142.22800000000001</v>
      </c>
      <c r="AG23" s="103">
        <f t="shared" si="66"/>
        <v>142.22800000000001</v>
      </c>
      <c r="AH23" s="227">
        <f t="shared" si="70"/>
        <v>142.22800000000001</v>
      </c>
      <c r="AI23" s="227">
        <f t="shared" si="71"/>
        <v>142.22800000000001</v>
      </c>
      <c r="AJ23" s="227">
        <f t="shared" si="71"/>
        <v>142.22800000000001</v>
      </c>
      <c r="AK23" s="228">
        <f t="shared" si="71"/>
        <v>142.22800000000001</v>
      </c>
      <c r="AL23" s="103">
        <f>SUM(AH23:AK23)</f>
        <v>568.91200000000003</v>
      </c>
    </row>
    <row r="24" spans="1:41" s="52" customFormat="1" ht="11.65" x14ac:dyDescent="0.35">
      <c r="A24" s="395"/>
      <c r="B24" s="223" t="s">
        <v>146</v>
      </c>
      <c r="C24" s="76"/>
      <c r="D24" s="225">
        <v>4.9279999999999999</v>
      </c>
      <c r="E24" s="226">
        <v>19.154</v>
      </c>
      <c r="F24" s="226">
        <v>25.667000000000002</v>
      </c>
      <c r="G24" s="102">
        <v>56.015999999999998</v>
      </c>
      <c r="H24" s="103">
        <f t="shared" si="67"/>
        <v>56.015999999999998</v>
      </c>
      <c r="I24" s="226">
        <v>51.84</v>
      </c>
      <c r="J24" s="226">
        <v>52.392000000000003</v>
      </c>
      <c r="K24" s="226">
        <v>51.226999999999997</v>
      </c>
      <c r="L24" s="102">
        <v>50.125</v>
      </c>
      <c r="M24" s="103">
        <f t="shared" si="68"/>
        <v>50.125</v>
      </c>
      <c r="N24" s="226">
        <v>9.0690000000000008</v>
      </c>
      <c r="O24" s="226">
        <v>10.647</v>
      </c>
      <c r="P24" s="226">
        <v>9.6669999999999998</v>
      </c>
      <c r="Q24" s="102">
        <v>7.4039999999999999</v>
      </c>
      <c r="R24" s="103">
        <f t="shared" si="65"/>
        <v>7.4039999999999999</v>
      </c>
      <c r="S24" s="226">
        <v>13.914</v>
      </c>
      <c r="T24" s="226">
        <v>16.009</v>
      </c>
      <c r="U24" s="226">
        <v>7.9320000000000004</v>
      </c>
      <c r="V24" s="102">
        <v>10.776999999999999</v>
      </c>
      <c r="W24" s="103">
        <f t="shared" si="72"/>
        <v>10.776999999999999</v>
      </c>
      <c r="X24" s="226">
        <v>16.579000000000001</v>
      </c>
      <c r="Y24" s="226">
        <v>15.644</v>
      </c>
      <c r="Z24" s="226">
        <v>15.012</v>
      </c>
      <c r="AA24" s="102">
        <v>16.611999999999998</v>
      </c>
      <c r="AB24" s="103">
        <f t="shared" si="73"/>
        <v>16.611999999999998</v>
      </c>
      <c r="AC24" s="226">
        <v>17.704999999999998</v>
      </c>
      <c r="AD24" s="227">
        <f t="shared" si="69"/>
        <v>17.704999999999998</v>
      </c>
      <c r="AE24" s="231">
        <f t="shared" si="69"/>
        <v>17.704999999999998</v>
      </c>
      <c r="AF24" s="236">
        <f t="shared" si="69"/>
        <v>17.704999999999998</v>
      </c>
      <c r="AG24" s="103">
        <f t="shared" si="66"/>
        <v>17.704999999999998</v>
      </c>
      <c r="AH24" s="227">
        <f t="shared" si="70"/>
        <v>17.704999999999998</v>
      </c>
      <c r="AI24" s="227">
        <f t="shared" si="71"/>
        <v>17.704999999999998</v>
      </c>
      <c r="AJ24" s="227">
        <f t="shared" si="71"/>
        <v>17.704999999999998</v>
      </c>
      <c r="AK24" s="228">
        <f t="shared" si="71"/>
        <v>17.704999999999998</v>
      </c>
      <c r="AL24" s="103">
        <f>SUM(AH24:AK24)</f>
        <v>70.819999999999993</v>
      </c>
    </row>
    <row r="25" spans="1:41" s="51" customFormat="1" ht="11.65" x14ac:dyDescent="0.35">
      <c r="A25" s="395"/>
      <c r="B25" s="223" t="s">
        <v>147</v>
      </c>
      <c r="C25" s="53"/>
      <c r="D25" s="224">
        <v>0</v>
      </c>
      <c r="E25" s="102">
        <v>0</v>
      </c>
      <c r="F25" s="102">
        <v>0</v>
      </c>
      <c r="G25" s="102">
        <v>0</v>
      </c>
      <c r="H25" s="103">
        <f t="shared" si="67"/>
        <v>0</v>
      </c>
      <c r="I25" s="102">
        <v>0</v>
      </c>
      <c r="J25" s="102">
        <v>0</v>
      </c>
      <c r="K25" s="102">
        <v>0</v>
      </c>
      <c r="L25" s="102">
        <v>0</v>
      </c>
      <c r="M25" s="103">
        <f t="shared" si="68"/>
        <v>0</v>
      </c>
      <c r="N25" s="102">
        <v>0</v>
      </c>
      <c r="O25" s="102">
        <v>0</v>
      </c>
      <c r="P25" s="102">
        <v>0</v>
      </c>
      <c r="Q25" s="102">
        <v>0</v>
      </c>
      <c r="R25" s="103">
        <f t="shared" si="65"/>
        <v>0</v>
      </c>
      <c r="S25" s="102">
        <v>0</v>
      </c>
      <c r="T25" s="102">
        <v>0</v>
      </c>
      <c r="U25" s="102">
        <v>0</v>
      </c>
      <c r="V25" s="102">
        <v>0</v>
      </c>
      <c r="W25" s="103">
        <f t="shared" si="72"/>
        <v>0</v>
      </c>
      <c r="X25" s="102">
        <v>0</v>
      </c>
      <c r="Y25" s="102">
        <v>0</v>
      </c>
      <c r="Z25" s="102">
        <v>0</v>
      </c>
      <c r="AA25" s="102">
        <v>0</v>
      </c>
      <c r="AB25" s="103">
        <f t="shared" si="73"/>
        <v>0</v>
      </c>
      <c r="AC25" s="102">
        <v>0</v>
      </c>
      <c r="AD25" s="228">
        <f t="shared" si="69"/>
        <v>0</v>
      </c>
      <c r="AE25" s="236">
        <f t="shared" si="69"/>
        <v>0</v>
      </c>
      <c r="AF25" s="236">
        <f t="shared" si="69"/>
        <v>0</v>
      </c>
      <c r="AG25" s="103">
        <f t="shared" si="66"/>
        <v>0</v>
      </c>
      <c r="AH25" s="228">
        <f t="shared" si="70"/>
        <v>0</v>
      </c>
      <c r="AI25" s="228">
        <f t="shared" si="71"/>
        <v>0</v>
      </c>
      <c r="AJ25" s="228">
        <f t="shared" si="71"/>
        <v>0</v>
      </c>
      <c r="AK25" s="228">
        <f t="shared" si="71"/>
        <v>0</v>
      </c>
      <c r="AL25" s="103">
        <f>SUM(AH25:AK25)</f>
        <v>0</v>
      </c>
    </row>
    <row r="26" spans="1:41" s="51" customFormat="1" ht="11.65" x14ac:dyDescent="0.35">
      <c r="A26" s="395"/>
      <c r="B26" s="223" t="s">
        <v>148</v>
      </c>
      <c r="C26" s="53"/>
      <c r="D26" s="224">
        <v>50.154000000000003</v>
      </c>
      <c r="E26" s="102">
        <v>50.146000000000001</v>
      </c>
      <c r="F26" s="102">
        <v>50.131</v>
      </c>
      <c r="G26" s="102">
        <v>50.122999999999998</v>
      </c>
      <c r="H26" s="103">
        <f t="shared" si="67"/>
        <v>50.122999999999998</v>
      </c>
      <c r="I26" s="102">
        <v>50.087000000000003</v>
      </c>
      <c r="J26" s="102">
        <v>50.052999999999997</v>
      </c>
      <c r="K26" s="102">
        <v>50.052</v>
      </c>
      <c r="L26" s="102">
        <v>50.054000000000002</v>
      </c>
      <c r="M26" s="103">
        <f t="shared" si="68"/>
        <v>50.054000000000002</v>
      </c>
      <c r="N26" s="102">
        <v>50.052</v>
      </c>
      <c r="O26" s="102">
        <v>50.048999999999999</v>
      </c>
      <c r="P26" s="102">
        <v>50.048999999999999</v>
      </c>
      <c r="Q26" s="102">
        <v>50.052</v>
      </c>
      <c r="R26" s="103">
        <f t="shared" si="65"/>
        <v>50.052</v>
      </c>
      <c r="S26" s="102">
        <v>50.055</v>
      </c>
      <c r="T26" s="102">
        <v>50.085999999999999</v>
      </c>
      <c r="U26" s="102">
        <v>50.146999999999998</v>
      </c>
      <c r="V26" s="102">
        <v>80.349999999999994</v>
      </c>
      <c r="W26" s="103">
        <f t="shared" si="72"/>
        <v>80.349999999999994</v>
      </c>
      <c r="X26" s="102">
        <v>80.397999999999996</v>
      </c>
      <c r="Y26" s="102">
        <v>80.418000000000006</v>
      </c>
      <c r="Z26" s="102">
        <v>80.435000000000002</v>
      </c>
      <c r="AA26" s="102">
        <v>80.402000000000001</v>
      </c>
      <c r="AB26" s="103">
        <f t="shared" si="73"/>
        <v>80.402000000000001</v>
      </c>
      <c r="AC26" s="102">
        <v>80.400999999999996</v>
      </c>
      <c r="AD26" s="228">
        <f t="shared" si="69"/>
        <v>80.400999999999996</v>
      </c>
      <c r="AE26" s="236">
        <f t="shared" si="69"/>
        <v>80.400999999999996</v>
      </c>
      <c r="AF26" s="236">
        <f t="shared" si="69"/>
        <v>80.400999999999996</v>
      </c>
      <c r="AG26" s="103">
        <f t="shared" si="66"/>
        <v>80.400999999999996</v>
      </c>
      <c r="AH26" s="228">
        <f t="shared" si="70"/>
        <v>80.400999999999996</v>
      </c>
      <c r="AI26" s="228">
        <f t="shared" si="71"/>
        <v>80.400999999999996</v>
      </c>
      <c r="AJ26" s="228">
        <f t="shared" si="71"/>
        <v>80.400999999999996</v>
      </c>
      <c r="AK26" s="228">
        <f t="shared" si="71"/>
        <v>80.400999999999996</v>
      </c>
      <c r="AL26" s="103">
        <f>AK26</f>
        <v>80.400999999999996</v>
      </c>
    </row>
    <row r="27" spans="1:41" s="51" customFormat="1" ht="11.65" x14ac:dyDescent="0.35">
      <c r="A27" s="395"/>
      <c r="B27" s="223" t="s">
        <v>149</v>
      </c>
      <c r="C27" s="53"/>
      <c r="D27" s="224">
        <v>0</v>
      </c>
      <c r="E27" s="102">
        <v>0</v>
      </c>
      <c r="F27" s="102">
        <v>0</v>
      </c>
      <c r="G27" s="102">
        <v>0</v>
      </c>
      <c r="H27" s="103">
        <f t="shared" si="67"/>
        <v>0</v>
      </c>
      <c r="I27" s="102">
        <v>0</v>
      </c>
      <c r="J27" s="102">
        <v>0</v>
      </c>
      <c r="K27" s="102">
        <v>0</v>
      </c>
      <c r="L27" s="102">
        <v>0</v>
      </c>
      <c r="M27" s="103">
        <f t="shared" si="68"/>
        <v>0</v>
      </c>
      <c r="N27" s="102">
        <v>0</v>
      </c>
      <c r="O27" s="102">
        <v>0</v>
      </c>
      <c r="P27" s="102">
        <v>0</v>
      </c>
      <c r="Q27" s="102">
        <v>0</v>
      </c>
      <c r="R27" s="103">
        <f t="shared" si="65"/>
        <v>0</v>
      </c>
      <c r="S27" s="102">
        <v>0</v>
      </c>
      <c r="T27" s="102">
        <v>0</v>
      </c>
      <c r="U27" s="102">
        <v>0</v>
      </c>
      <c r="V27" s="102">
        <v>0</v>
      </c>
      <c r="W27" s="103">
        <f t="shared" si="72"/>
        <v>0</v>
      </c>
      <c r="X27" s="102">
        <v>0</v>
      </c>
      <c r="Y27" s="102">
        <v>0</v>
      </c>
      <c r="Z27" s="102">
        <v>0</v>
      </c>
      <c r="AA27" s="102">
        <v>0</v>
      </c>
      <c r="AB27" s="103">
        <f t="shared" si="73"/>
        <v>0</v>
      </c>
      <c r="AC27" s="102">
        <v>0</v>
      </c>
      <c r="AD27" s="228">
        <f t="shared" si="69"/>
        <v>0</v>
      </c>
      <c r="AE27" s="236">
        <f t="shared" si="69"/>
        <v>0</v>
      </c>
      <c r="AF27" s="236">
        <f t="shared" si="69"/>
        <v>0</v>
      </c>
      <c r="AG27" s="103">
        <f t="shared" si="66"/>
        <v>0</v>
      </c>
      <c r="AH27" s="228">
        <f t="shared" si="70"/>
        <v>0</v>
      </c>
      <c r="AI27" s="228">
        <f t="shared" si="71"/>
        <v>0</v>
      </c>
      <c r="AJ27" s="228">
        <f t="shared" si="71"/>
        <v>0</v>
      </c>
      <c r="AK27" s="228">
        <f t="shared" si="71"/>
        <v>0</v>
      </c>
      <c r="AL27" s="103">
        <f>SUM(AH27:AK27)</f>
        <v>0</v>
      </c>
    </row>
    <row r="28" spans="1:41" s="51" customFormat="1" ht="11.65" x14ac:dyDescent="0.35">
      <c r="A28" s="395" t="s">
        <v>36</v>
      </c>
      <c r="B28" s="201" t="s">
        <v>162</v>
      </c>
      <c r="C28" s="53"/>
      <c r="D28" s="227">
        <f>SUM(D21:D27)</f>
        <v>112.65600000000001</v>
      </c>
      <c r="E28" s="227">
        <f t="shared" ref="E28:G28" si="74">SUM(E21:E27)</f>
        <v>126.925</v>
      </c>
      <c r="F28" s="227">
        <f t="shared" si="74"/>
        <v>137.97399999999999</v>
      </c>
      <c r="G28" s="228">
        <f t="shared" si="74"/>
        <v>179.874</v>
      </c>
      <c r="H28" s="103">
        <f t="shared" si="67"/>
        <v>179.874</v>
      </c>
      <c r="I28" s="227">
        <f>SUM(I21:I27)</f>
        <v>176.642</v>
      </c>
      <c r="J28" s="227">
        <f t="shared" ref="J28" si="75">SUM(J21:J27)</f>
        <v>175.56</v>
      </c>
      <c r="K28" s="227">
        <f t="shared" ref="K28" si="76">SUM(K21:K27)</f>
        <v>195.87199999999999</v>
      </c>
      <c r="L28" s="228">
        <f t="shared" ref="L28" si="77">SUM(L21:L27)</f>
        <v>199.053</v>
      </c>
      <c r="M28" s="103">
        <f t="shared" ref="M28" si="78">L28</f>
        <v>199.053</v>
      </c>
      <c r="N28" s="227">
        <f t="shared" ref="N28" si="79">SUM(N21:N27)</f>
        <v>166.96900000000002</v>
      </c>
      <c r="O28" s="227">
        <f t="shared" ref="O28" si="80">SUM(O21:O27)</f>
        <v>197.988</v>
      </c>
      <c r="P28" s="227">
        <f t="shared" ref="P28" si="81">SUM(P21:P27)</f>
        <v>199.714</v>
      </c>
      <c r="Q28" s="228">
        <f t="shared" ref="Q28" si="82">SUM(Q21:Q27)</f>
        <v>218.95599999999999</v>
      </c>
      <c r="R28" s="103">
        <f t="shared" ref="R28:AL29" si="83">Q28</f>
        <v>218.95599999999999</v>
      </c>
      <c r="S28" s="227">
        <f t="shared" ref="S28" si="84">SUM(S21:S27)</f>
        <v>231.072</v>
      </c>
      <c r="T28" s="227">
        <f t="shared" ref="T28" si="85">SUM(T21:T27)</f>
        <v>251.61799999999999</v>
      </c>
      <c r="U28" s="227">
        <f t="shared" ref="U28" si="86">SUM(U21:U27)</f>
        <v>267.28100000000001</v>
      </c>
      <c r="V28" s="228">
        <f t="shared" ref="V28" si="87">SUM(V21:V27)</f>
        <v>310.49900000000002</v>
      </c>
      <c r="W28" s="103">
        <f t="shared" si="83"/>
        <v>310.49900000000002</v>
      </c>
      <c r="X28" s="227">
        <f t="shared" ref="X28" si="88">SUM(X21:X27)</f>
        <v>290.96900000000005</v>
      </c>
      <c r="Y28" s="227">
        <f t="shared" ref="Y28" si="89">SUM(Y21:Y27)</f>
        <v>276.85599999999999</v>
      </c>
      <c r="Z28" s="227">
        <f t="shared" ref="Z28" si="90">SUM(Z21:Z27)</f>
        <v>289.923</v>
      </c>
      <c r="AA28" s="228">
        <f t="shared" ref="AA28" si="91">SUM(AA21:AA27)</f>
        <v>307.274</v>
      </c>
      <c r="AB28" s="103">
        <f t="shared" si="83"/>
        <v>307.274</v>
      </c>
      <c r="AC28" s="227">
        <f t="shared" ref="AC28" si="92">SUM(AC21:AC27)</f>
        <v>305.94900000000001</v>
      </c>
      <c r="AD28" s="227">
        <f t="shared" ref="AD28" si="93">SUM(AD21:AD27)</f>
        <v>297.8497388315439</v>
      </c>
      <c r="AE28" s="231">
        <f t="shared" ref="AE28" si="94">SUM(AE21:AE27)</f>
        <v>297.68688593706037</v>
      </c>
      <c r="AF28" s="236">
        <f t="shared" ref="AF28" si="95">SUM(AF21:AF27)</f>
        <v>296.20301738615331</v>
      </c>
      <c r="AG28" s="103">
        <f t="shared" si="83"/>
        <v>296.20301738615331</v>
      </c>
      <c r="AH28" s="227">
        <f t="shared" ref="AH28" si="96">SUM(AH21:AH27)</f>
        <v>299.68160131506852</v>
      </c>
      <c r="AI28" s="227">
        <f t="shared" ref="AI28" si="97">SUM(AI21:AI27)</f>
        <v>298.2894590452446</v>
      </c>
      <c r="AJ28" s="227">
        <f t="shared" ref="AJ28" si="98">SUM(AJ21:AJ27)</f>
        <v>298.12253388677135</v>
      </c>
      <c r="AK28" s="228">
        <f t="shared" ref="AK28" si="99">SUM(AK21:AK27)</f>
        <v>298.13571606324177</v>
      </c>
      <c r="AL28" s="103">
        <f t="shared" si="83"/>
        <v>298.13571606324177</v>
      </c>
    </row>
    <row r="29" spans="1:41" s="51" customFormat="1" ht="11.65" x14ac:dyDescent="0.35">
      <c r="A29" s="395"/>
      <c r="B29" s="201" t="s">
        <v>150</v>
      </c>
      <c r="C29" s="53"/>
      <c r="D29" s="224">
        <v>0</v>
      </c>
      <c r="E29" s="102">
        <v>0</v>
      </c>
      <c r="F29" s="102">
        <v>0</v>
      </c>
      <c r="G29" s="102">
        <v>0</v>
      </c>
      <c r="H29" s="103">
        <f>G29</f>
        <v>0</v>
      </c>
      <c r="I29" s="102">
        <v>0</v>
      </c>
      <c r="J29" s="102">
        <v>0</v>
      </c>
      <c r="K29" s="102">
        <v>0</v>
      </c>
      <c r="L29" s="102">
        <v>0</v>
      </c>
      <c r="M29" s="103">
        <f>L29</f>
        <v>0</v>
      </c>
      <c r="N29" s="102">
        <v>0</v>
      </c>
      <c r="O29" s="102">
        <v>0</v>
      </c>
      <c r="P29" s="102">
        <v>0</v>
      </c>
      <c r="Q29" s="102">
        <v>0</v>
      </c>
      <c r="R29" s="103">
        <f>Q29</f>
        <v>0</v>
      </c>
      <c r="S29" s="102">
        <v>0</v>
      </c>
      <c r="T29" s="102">
        <v>0</v>
      </c>
      <c r="U29" s="102">
        <v>0</v>
      </c>
      <c r="V29" s="102">
        <v>0</v>
      </c>
      <c r="W29" s="103">
        <f>V29</f>
        <v>0</v>
      </c>
      <c r="X29" s="102">
        <v>0</v>
      </c>
      <c r="Y29" s="102">
        <v>0</v>
      </c>
      <c r="Z29" s="102">
        <v>0</v>
      </c>
      <c r="AA29" s="102">
        <v>0</v>
      </c>
      <c r="AB29" s="103">
        <f>AA29</f>
        <v>0</v>
      </c>
      <c r="AC29" s="102">
        <v>0</v>
      </c>
      <c r="AD29" s="228">
        <f t="shared" ref="AD29:AG31" si="100">AC29</f>
        <v>0</v>
      </c>
      <c r="AE29" s="236">
        <f t="shared" si="100"/>
        <v>0</v>
      </c>
      <c r="AF29" s="236">
        <f t="shared" si="100"/>
        <v>0</v>
      </c>
      <c r="AG29" s="103">
        <f t="shared" si="100"/>
        <v>0</v>
      </c>
      <c r="AH29" s="228">
        <f>AF29</f>
        <v>0</v>
      </c>
      <c r="AI29" s="228">
        <f t="shared" ref="AI29:AK31" si="101">AH29</f>
        <v>0</v>
      </c>
      <c r="AJ29" s="228">
        <f t="shared" si="101"/>
        <v>0</v>
      </c>
      <c r="AK29" s="228">
        <f t="shared" si="101"/>
        <v>0</v>
      </c>
      <c r="AL29" s="103">
        <f t="shared" si="83"/>
        <v>0</v>
      </c>
    </row>
    <row r="30" spans="1:41" s="51" customFormat="1" ht="11.65" x14ac:dyDescent="0.35">
      <c r="A30" s="395"/>
      <c r="B30" s="201" t="s">
        <v>151</v>
      </c>
      <c r="C30" s="53"/>
      <c r="D30" s="224">
        <f>39.698+30.674</f>
        <v>70.372</v>
      </c>
      <c r="E30" s="102">
        <f>60.527+29.275</f>
        <v>89.801999999999992</v>
      </c>
      <c r="F30" s="102">
        <f>56.174+27.825</f>
        <v>83.998999999999995</v>
      </c>
      <c r="G30" s="102">
        <f>23.808+26.297+0.31</f>
        <v>50.415000000000006</v>
      </c>
      <c r="H30" s="103">
        <f>G30</f>
        <v>50.415000000000006</v>
      </c>
      <c r="I30" s="102">
        <f>25.152+24.727+0.31</f>
        <v>50.189000000000007</v>
      </c>
      <c r="J30" s="102">
        <f>23.115+22.533+0.31</f>
        <v>45.957999999999998</v>
      </c>
      <c r="K30" s="102">
        <f>23.128+21.444+0.31</f>
        <v>44.882000000000005</v>
      </c>
      <c r="L30" s="102">
        <f>22.805+21.246+0.32</f>
        <v>44.371000000000002</v>
      </c>
      <c r="M30" s="103">
        <f>L30</f>
        <v>44.371000000000002</v>
      </c>
      <c r="N30" s="102">
        <f>23.816+50.811</f>
        <v>74.626999999999995</v>
      </c>
      <c r="O30" s="102">
        <f>23.562+49.519</f>
        <v>73.081000000000003</v>
      </c>
      <c r="P30" s="102">
        <f>22.706+48.388+1.464</f>
        <v>72.557999999999993</v>
      </c>
      <c r="Q30" s="102">
        <f>21.318+61.036+1.479</f>
        <v>83.832999999999998</v>
      </c>
      <c r="R30" s="103">
        <f>Q30</f>
        <v>83.832999999999998</v>
      </c>
      <c r="S30" s="102">
        <f>20.543+67.477+2.531</f>
        <v>90.551000000000016</v>
      </c>
      <c r="T30" s="102">
        <f>20.721+65.417+3.618</f>
        <v>89.756</v>
      </c>
      <c r="U30" s="102">
        <f>78.469+20.405</f>
        <v>98.873999999999995</v>
      </c>
      <c r="V30" s="102">
        <f>20.001+76.577</f>
        <v>96.578000000000003</v>
      </c>
      <c r="W30" s="103">
        <f>V30</f>
        <v>96.578000000000003</v>
      </c>
      <c r="X30" s="102">
        <f>21.511+73.854</f>
        <v>95.364999999999995</v>
      </c>
      <c r="Y30" s="102">
        <f>21.502+71.093</f>
        <v>92.594999999999999</v>
      </c>
      <c r="Z30" s="102">
        <f>21.033+68.287</f>
        <v>89.320000000000007</v>
      </c>
      <c r="AA30" s="102">
        <f>19.128+67.025</f>
        <v>86.153000000000006</v>
      </c>
      <c r="AB30" s="103">
        <f>AA30</f>
        <v>86.153000000000006</v>
      </c>
      <c r="AC30" s="102">
        <f>20.712+64.16</f>
        <v>84.872</v>
      </c>
      <c r="AD30" s="228">
        <f t="shared" si="100"/>
        <v>84.872</v>
      </c>
      <c r="AE30" s="236">
        <f t="shared" si="100"/>
        <v>84.872</v>
      </c>
      <c r="AF30" s="236">
        <f t="shared" si="100"/>
        <v>84.872</v>
      </c>
      <c r="AG30" s="103">
        <f t="shared" si="100"/>
        <v>84.872</v>
      </c>
      <c r="AH30" s="228">
        <f>AF30</f>
        <v>84.872</v>
      </c>
      <c r="AI30" s="228">
        <f t="shared" si="101"/>
        <v>84.872</v>
      </c>
      <c r="AJ30" s="228">
        <f t="shared" si="101"/>
        <v>84.872</v>
      </c>
      <c r="AK30" s="228">
        <f t="shared" si="101"/>
        <v>84.872</v>
      </c>
      <c r="AL30" s="103">
        <f>AK30</f>
        <v>84.872</v>
      </c>
      <c r="AN30" s="90" t="s">
        <v>36</v>
      </c>
      <c r="AO30" s="90" t="s">
        <v>167</v>
      </c>
    </row>
    <row r="31" spans="1:41" s="51" customFormat="1" ht="11.65" x14ac:dyDescent="0.35">
      <c r="A31" s="395"/>
      <c r="B31" s="201" t="s">
        <v>152</v>
      </c>
      <c r="C31" s="53"/>
      <c r="D31" s="224">
        <v>73.430999999999997</v>
      </c>
      <c r="E31" s="102">
        <v>73.510999999999996</v>
      </c>
      <c r="F31" s="102">
        <v>73.582999999999998</v>
      </c>
      <c r="G31" s="102">
        <v>73.656000000000006</v>
      </c>
      <c r="H31" s="103">
        <f>G31</f>
        <v>73.656000000000006</v>
      </c>
      <c r="I31" s="102">
        <v>72.881</v>
      </c>
      <c r="J31" s="102">
        <v>197.476</v>
      </c>
      <c r="K31" s="102">
        <v>199.959</v>
      </c>
      <c r="L31" s="102">
        <v>202.49299999999999</v>
      </c>
      <c r="M31" s="103">
        <f>L31</f>
        <v>202.49299999999999</v>
      </c>
      <c r="N31" s="102">
        <v>279.471</v>
      </c>
      <c r="O31" s="102">
        <v>279.77699999999999</v>
      </c>
      <c r="P31" s="102">
        <v>280.08499999999998</v>
      </c>
      <c r="Q31" s="102">
        <v>280.39400000000001</v>
      </c>
      <c r="R31" s="103">
        <f>Q31</f>
        <v>280.39400000000001</v>
      </c>
      <c r="S31" s="102">
        <v>280.70600000000002</v>
      </c>
      <c r="T31" s="102">
        <v>281.02</v>
      </c>
      <c r="U31" s="102">
        <v>281.33600000000001</v>
      </c>
      <c r="V31" s="102">
        <v>281.65300000000002</v>
      </c>
      <c r="W31" s="103">
        <f>V31</f>
        <v>281.65300000000002</v>
      </c>
      <c r="X31" s="102">
        <v>281.97300000000001</v>
      </c>
      <c r="Y31" s="102">
        <f>282.295</f>
        <v>282.29500000000002</v>
      </c>
      <c r="Z31" s="102">
        <v>282.61900000000003</v>
      </c>
      <c r="AA31" s="102">
        <f>282.945</f>
        <v>282.94499999999999</v>
      </c>
      <c r="AB31" s="103">
        <f>AA31</f>
        <v>282.94499999999999</v>
      </c>
      <c r="AC31" s="102">
        <v>283.27300000000002</v>
      </c>
      <c r="AD31" s="228">
        <f t="shared" si="100"/>
        <v>283.27300000000002</v>
      </c>
      <c r="AE31" s="236">
        <f t="shared" si="100"/>
        <v>283.27300000000002</v>
      </c>
      <c r="AF31" s="236">
        <f t="shared" si="100"/>
        <v>283.27300000000002</v>
      </c>
      <c r="AG31" s="103">
        <f t="shared" si="100"/>
        <v>283.27300000000002</v>
      </c>
      <c r="AH31" s="228">
        <f>AG31</f>
        <v>283.27300000000002</v>
      </c>
      <c r="AI31" s="228">
        <f t="shared" si="101"/>
        <v>283.27300000000002</v>
      </c>
      <c r="AJ31" s="228">
        <f t="shared" si="101"/>
        <v>283.27300000000002</v>
      </c>
      <c r="AK31" s="228">
        <f t="shared" si="101"/>
        <v>283.27300000000002</v>
      </c>
      <c r="AL31" s="103">
        <f>AK31</f>
        <v>283.27300000000002</v>
      </c>
    </row>
    <row r="32" spans="1:41" s="52" customFormat="1" ht="11.65" x14ac:dyDescent="0.35">
      <c r="A32" s="395" t="s">
        <v>36</v>
      </c>
      <c r="B32" s="205" t="s">
        <v>163</v>
      </c>
      <c r="C32" s="76"/>
      <c r="D32" s="73">
        <f>D28+SUM(D29:D31)</f>
        <v>256.459</v>
      </c>
      <c r="E32" s="73">
        <f t="shared" ref="E32:G32" si="102">E28+SUM(E29:E31)</f>
        <v>290.238</v>
      </c>
      <c r="F32" s="73">
        <f t="shared" si="102"/>
        <v>295.55599999999998</v>
      </c>
      <c r="G32" s="73">
        <f t="shared" si="102"/>
        <v>303.94499999999999</v>
      </c>
      <c r="H32" s="74">
        <f>SUM(H28:H31)</f>
        <v>303.94499999999999</v>
      </c>
      <c r="I32" s="73">
        <f>I28+SUM(I29:I31)</f>
        <v>299.71199999999999</v>
      </c>
      <c r="J32" s="73">
        <f t="shared" ref="J32:R32" si="103">J28+SUM(J29:J31)</f>
        <v>418.99400000000003</v>
      </c>
      <c r="K32" s="73">
        <f t="shared" si="103"/>
        <v>440.71299999999997</v>
      </c>
      <c r="L32" s="73">
        <f t="shared" si="103"/>
        <v>445.91700000000003</v>
      </c>
      <c r="M32" s="74">
        <f t="shared" si="103"/>
        <v>445.91700000000003</v>
      </c>
      <c r="N32" s="73">
        <f t="shared" si="103"/>
        <v>521.06700000000001</v>
      </c>
      <c r="O32" s="73">
        <f t="shared" si="103"/>
        <v>550.846</v>
      </c>
      <c r="P32" s="73">
        <f t="shared" si="103"/>
        <v>552.35699999999997</v>
      </c>
      <c r="Q32" s="73">
        <f t="shared" si="103"/>
        <v>583.18299999999999</v>
      </c>
      <c r="R32" s="74">
        <f t="shared" si="103"/>
        <v>583.18299999999999</v>
      </c>
      <c r="S32" s="73">
        <f t="shared" ref="S32" si="104">S28+SUM(S29:S31)</f>
        <v>602.32900000000006</v>
      </c>
      <c r="T32" s="73">
        <f t="shared" ref="T32" si="105">T28+SUM(T29:T31)</f>
        <v>622.39400000000001</v>
      </c>
      <c r="U32" s="73">
        <f t="shared" ref="U32" si="106">U28+SUM(U29:U31)</f>
        <v>647.49099999999999</v>
      </c>
      <c r="V32" s="73">
        <f t="shared" ref="V32" si="107">V28+SUM(V29:V31)</f>
        <v>688.73</v>
      </c>
      <c r="W32" s="74">
        <f t="shared" ref="W32" si="108">W28+SUM(W29:W31)</f>
        <v>688.73</v>
      </c>
      <c r="X32" s="73">
        <f t="shared" ref="X32" si="109">X28+SUM(X29:X31)</f>
        <v>668.30700000000002</v>
      </c>
      <c r="Y32" s="73">
        <f t="shared" ref="Y32" si="110">Y28+SUM(Y29:Y31)</f>
        <v>651.74599999999998</v>
      </c>
      <c r="Z32" s="73">
        <f t="shared" ref="Z32" si="111">Z28+SUM(Z29:Z31)</f>
        <v>661.86200000000008</v>
      </c>
      <c r="AA32" s="73">
        <f t="shared" ref="AA32" si="112">AA28+SUM(AA29:AA31)</f>
        <v>676.37200000000007</v>
      </c>
      <c r="AB32" s="101">
        <f t="shared" ref="AB32" si="113">AB28+SUM(AB29:AB31)</f>
        <v>676.37200000000007</v>
      </c>
      <c r="AC32" s="73">
        <f t="shared" ref="AC32" si="114">AC28+SUM(AC29:AC31)</f>
        <v>674.09400000000005</v>
      </c>
      <c r="AD32" s="286">
        <f t="shared" ref="AD32" si="115">AD28+SUM(AD29:AD31)</f>
        <v>665.99473883154394</v>
      </c>
      <c r="AE32" s="73">
        <f t="shared" ref="AE32" si="116">AE28+SUM(AE29:AE31)</f>
        <v>665.83188593706041</v>
      </c>
      <c r="AF32" s="73">
        <f t="shared" ref="AF32" si="117">AF28+SUM(AF29:AF31)</f>
        <v>664.34801738615329</v>
      </c>
      <c r="AG32" s="74">
        <f t="shared" ref="AG32" si="118">AG28+SUM(AG29:AG31)</f>
        <v>664.34801738615329</v>
      </c>
      <c r="AH32" s="73">
        <f t="shared" ref="AH32" si="119">AH28+SUM(AH29:AH31)</f>
        <v>667.8266013150685</v>
      </c>
      <c r="AI32" s="73">
        <f t="shared" ref="AI32" si="120">AI28+SUM(AI29:AI31)</f>
        <v>666.43445904524469</v>
      </c>
      <c r="AJ32" s="73">
        <f t="shared" ref="AJ32" si="121">AJ28+SUM(AJ29:AJ31)</f>
        <v>666.26753388677139</v>
      </c>
      <c r="AK32" s="73">
        <f t="shared" ref="AK32" si="122">AK28+SUM(AK29:AK31)</f>
        <v>666.28071606324181</v>
      </c>
      <c r="AL32" s="74">
        <f t="shared" ref="AL32" si="123">AL28+SUM(AL29:AL31)</f>
        <v>666.28071606324181</v>
      </c>
    </row>
    <row r="33" spans="1:38" s="51" customFormat="1" ht="11.65" x14ac:dyDescent="0.35">
      <c r="A33" s="395"/>
      <c r="B33" s="201"/>
      <c r="C33" s="53"/>
      <c r="H33" s="75"/>
      <c r="M33" s="75"/>
      <c r="R33" s="75"/>
      <c r="W33" s="75"/>
      <c r="AB33" s="75"/>
      <c r="AG33" s="75"/>
      <c r="AL33" s="75"/>
    </row>
    <row r="34" spans="1:38" s="51" customFormat="1" ht="11.65" x14ac:dyDescent="0.35">
      <c r="A34" s="395"/>
      <c r="B34" s="230" t="s">
        <v>153</v>
      </c>
      <c r="C34" s="53"/>
      <c r="D34" s="224"/>
      <c r="E34" s="102"/>
      <c r="F34" s="102"/>
      <c r="G34" s="102"/>
      <c r="H34" s="75"/>
      <c r="I34" s="102"/>
      <c r="J34" s="102"/>
      <c r="K34" s="102"/>
      <c r="L34" s="102"/>
      <c r="M34" s="75"/>
      <c r="N34" s="102"/>
      <c r="O34" s="102"/>
      <c r="P34" s="102"/>
      <c r="Q34" s="102"/>
      <c r="R34" s="75"/>
      <c r="S34" s="102"/>
      <c r="T34" s="102"/>
      <c r="U34" s="102"/>
      <c r="V34" s="102"/>
      <c r="W34" s="75"/>
      <c r="X34" s="102"/>
      <c r="Y34" s="102"/>
      <c r="Z34" s="102"/>
      <c r="AA34" s="102"/>
      <c r="AB34" s="75"/>
      <c r="AC34" s="102"/>
      <c r="AD34" s="102"/>
      <c r="AE34" s="102"/>
      <c r="AF34" s="102"/>
      <c r="AG34" s="75"/>
      <c r="AH34" s="102"/>
      <c r="AI34" s="102"/>
      <c r="AJ34" s="102"/>
      <c r="AK34" s="102"/>
      <c r="AL34" s="75"/>
    </row>
    <row r="35" spans="1:38" s="51" customFormat="1" ht="11.65" x14ac:dyDescent="0.35">
      <c r="A35" s="395"/>
      <c r="B35" s="201" t="s">
        <v>154</v>
      </c>
      <c r="C35" s="53"/>
      <c r="D35" s="224">
        <v>0</v>
      </c>
      <c r="E35" s="102">
        <v>0</v>
      </c>
      <c r="F35" s="102">
        <v>0</v>
      </c>
      <c r="G35" s="102">
        <v>0</v>
      </c>
      <c r="H35" s="103">
        <f t="shared" ref="H35:H40" si="124">G35</f>
        <v>0</v>
      </c>
      <c r="I35" s="102">
        <v>0</v>
      </c>
      <c r="J35" s="102">
        <v>0</v>
      </c>
      <c r="K35" s="102">
        <v>0</v>
      </c>
      <c r="L35" s="102">
        <v>0</v>
      </c>
      <c r="M35" s="103">
        <f>L35</f>
        <v>0</v>
      </c>
      <c r="N35" s="102">
        <v>0</v>
      </c>
      <c r="O35" s="102">
        <v>0</v>
      </c>
      <c r="P35" s="102">
        <v>0</v>
      </c>
      <c r="Q35" s="102">
        <v>0</v>
      </c>
      <c r="R35" s="103">
        <f>Q35</f>
        <v>0</v>
      </c>
      <c r="S35" s="102">
        <v>0</v>
      </c>
      <c r="T35" s="102">
        <v>0</v>
      </c>
      <c r="U35" s="102">
        <v>0</v>
      </c>
      <c r="V35" s="102">
        <v>0</v>
      </c>
      <c r="W35" s="103">
        <f>V35</f>
        <v>0</v>
      </c>
      <c r="X35" s="102">
        <v>0</v>
      </c>
      <c r="Y35" s="102">
        <v>0</v>
      </c>
      <c r="Z35" s="102">
        <v>0</v>
      </c>
      <c r="AA35" s="102">
        <v>0</v>
      </c>
      <c r="AB35" s="103">
        <f>AA35</f>
        <v>0</v>
      </c>
      <c r="AC35" s="102">
        <v>0</v>
      </c>
      <c r="AD35" s="228">
        <f>AC35</f>
        <v>0</v>
      </c>
      <c r="AE35" s="228">
        <f>AD35</f>
        <v>0</v>
      </c>
      <c r="AF35" s="228">
        <f>AE35</f>
        <v>0</v>
      </c>
      <c r="AG35" s="103">
        <f>AF35</f>
        <v>0</v>
      </c>
      <c r="AH35" s="228">
        <f>AF35</f>
        <v>0</v>
      </c>
      <c r="AI35" s="228">
        <f t="shared" ref="AI35:AL36" si="125">AH35</f>
        <v>0</v>
      </c>
      <c r="AJ35" s="228">
        <f t="shared" si="125"/>
        <v>0</v>
      </c>
      <c r="AK35" s="228">
        <f t="shared" si="125"/>
        <v>0</v>
      </c>
      <c r="AL35" s="103">
        <f t="shared" si="125"/>
        <v>0</v>
      </c>
    </row>
    <row r="36" spans="1:38" s="51" customFormat="1" ht="11.65" x14ac:dyDescent="0.35">
      <c r="A36" s="395"/>
      <c r="B36" s="201" t="s">
        <v>155</v>
      </c>
      <c r="C36" s="53"/>
      <c r="D36" s="224">
        <v>7.0000000000000001E-3</v>
      </c>
      <c r="E36" s="102">
        <v>7.0000000000000001E-3</v>
      </c>
      <c r="F36" s="102">
        <v>7.0000000000000001E-3</v>
      </c>
      <c r="G36" s="102">
        <v>8.0000000000000002E-3</v>
      </c>
      <c r="H36" s="103">
        <f t="shared" si="124"/>
        <v>8.0000000000000002E-3</v>
      </c>
      <c r="I36" s="102">
        <v>8.0000000000000002E-3</v>
      </c>
      <c r="J36" s="102">
        <v>8.0000000000000002E-3</v>
      </c>
      <c r="K36" s="102">
        <v>8.9999999999999993E-3</v>
      </c>
      <c r="L36" s="102">
        <v>8.9999999999999993E-3</v>
      </c>
      <c r="M36" s="103">
        <f>L36</f>
        <v>8.9999999999999993E-3</v>
      </c>
      <c r="N36" s="102">
        <v>8.9999999999999993E-3</v>
      </c>
      <c r="O36" s="102">
        <v>8.9999999999999993E-3</v>
      </c>
      <c r="P36" s="102">
        <v>0.01</v>
      </c>
      <c r="Q36" s="102">
        <v>0.01</v>
      </c>
      <c r="R36" s="103">
        <f>Q36</f>
        <v>0.01</v>
      </c>
      <c r="S36" s="102">
        <v>0.01</v>
      </c>
      <c r="T36" s="102">
        <v>0.01</v>
      </c>
      <c r="U36" s="102">
        <v>0.01</v>
      </c>
      <c r="V36" s="102">
        <v>1.0999999999999999E-2</v>
      </c>
      <c r="W36" s="103">
        <f t="shared" ref="W36:W39" si="126">V36</f>
        <v>1.0999999999999999E-2</v>
      </c>
      <c r="X36" s="102">
        <v>1.0999999999999999E-2</v>
      </c>
      <c r="Y36" s="102">
        <v>1.0999999999999999E-2</v>
      </c>
      <c r="Z36" s="102">
        <v>1.0999999999999999E-2</v>
      </c>
      <c r="AA36" s="102">
        <v>1.0999999999999999E-2</v>
      </c>
      <c r="AB36" s="103">
        <f>AA36</f>
        <v>1.0999999999999999E-2</v>
      </c>
      <c r="AC36" s="102">
        <v>1.2E-2</v>
      </c>
      <c r="AD36" s="228">
        <f>AC36</f>
        <v>1.2E-2</v>
      </c>
      <c r="AE36" s="228">
        <f>AD36</f>
        <v>1.2E-2</v>
      </c>
      <c r="AF36" s="228">
        <f>AF35</f>
        <v>0</v>
      </c>
      <c r="AG36" s="103">
        <f>AF36</f>
        <v>0</v>
      </c>
      <c r="AH36" s="228">
        <f>AG36</f>
        <v>0</v>
      </c>
      <c r="AI36" s="228">
        <f t="shared" si="125"/>
        <v>0</v>
      </c>
      <c r="AJ36" s="228">
        <f t="shared" si="125"/>
        <v>0</v>
      </c>
      <c r="AK36" s="228">
        <f t="shared" si="125"/>
        <v>0</v>
      </c>
      <c r="AL36" s="103">
        <f t="shared" si="125"/>
        <v>0</v>
      </c>
    </row>
    <row r="37" spans="1:38" s="51" customFormat="1" ht="11.65" x14ac:dyDescent="0.35">
      <c r="A37" s="395"/>
      <c r="B37" s="201" t="s">
        <v>156</v>
      </c>
      <c r="C37" s="53"/>
      <c r="D37" s="227">
        <v>613.67999999999995</v>
      </c>
      <c r="E37" s="227">
        <v>733.13699999999994</v>
      </c>
      <c r="F37" s="227">
        <v>747.81700000000001</v>
      </c>
      <c r="G37" s="228">
        <v>976.95500000000004</v>
      </c>
      <c r="H37" s="103">
        <f t="shared" si="124"/>
        <v>976.95500000000004</v>
      </c>
      <c r="I37" s="227">
        <v>988.19899999999996</v>
      </c>
      <c r="J37" s="227">
        <v>1093.0719999999999</v>
      </c>
      <c r="K37" s="227">
        <v>1383.7270000000001</v>
      </c>
      <c r="L37" s="228">
        <v>1411.2860000000001</v>
      </c>
      <c r="M37" s="103">
        <f>L37</f>
        <v>1411.2860000000001</v>
      </c>
      <c r="N37" s="227">
        <v>1356.212</v>
      </c>
      <c r="O37" s="227">
        <v>1399.6590000000001</v>
      </c>
      <c r="P37" s="227">
        <v>2011.788</v>
      </c>
      <c r="Q37" s="228">
        <v>2050.4169999999999</v>
      </c>
      <c r="R37" s="103">
        <f>Q37</f>
        <v>2050.4169999999999</v>
      </c>
      <c r="S37" s="227">
        <v>2089.66</v>
      </c>
      <c r="T37" s="227">
        <v>2139.5509999999999</v>
      </c>
      <c r="U37" s="227">
        <v>2181.2820000000002</v>
      </c>
      <c r="V37" s="228">
        <v>2664.73</v>
      </c>
      <c r="W37" s="103">
        <f t="shared" si="126"/>
        <v>2664.73</v>
      </c>
      <c r="X37" s="227">
        <v>2741.9319999999998</v>
      </c>
      <c r="Y37" s="227">
        <v>2795.7139999999999</v>
      </c>
      <c r="Z37" s="227">
        <v>3089.4479999999999</v>
      </c>
      <c r="AA37" s="228">
        <v>3145.837</v>
      </c>
      <c r="AB37" s="103">
        <f>AA37</f>
        <v>3145.837</v>
      </c>
      <c r="AC37" s="227">
        <v>3241.326</v>
      </c>
      <c r="AD37" s="227">
        <f>AC37+42.3+6.5-14.4</f>
        <v>3275.7260000000001</v>
      </c>
      <c r="AE37" s="227">
        <f>AD37+40.3-6.6</f>
        <v>3309.4260000000004</v>
      </c>
      <c r="AF37" s="227">
        <f>AE37+69.8-6.5</f>
        <v>3372.7260000000006</v>
      </c>
      <c r="AG37" s="103">
        <f>AF37</f>
        <v>3372.7260000000006</v>
      </c>
      <c r="AH37" s="227">
        <f>AF37+59.1+14.6</f>
        <v>3446.4260000000004</v>
      </c>
      <c r="AI37" s="227">
        <f>AH37+37.5</f>
        <v>3483.9260000000004</v>
      </c>
      <c r="AJ37" s="227">
        <f>AI37+32.7+63.9</f>
        <v>3580.5260000000003</v>
      </c>
      <c r="AK37" s="228">
        <f>AJ37+63.4</f>
        <v>3643.9260000000004</v>
      </c>
      <c r="AL37" s="103">
        <f>AK37</f>
        <v>3643.9260000000004</v>
      </c>
    </row>
    <row r="38" spans="1:38" s="51" customFormat="1" ht="11.65" x14ac:dyDescent="0.35">
      <c r="A38" s="395"/>
      <c r="B38" s="201" t="s">
        <v>157</v>
      </c>
      <c r="C38" s="53"/>
      <c r="D38" s="224">
        <v>-0.26600000000000001</v>
      </c>
      <c r="E38" s="97">
        <v>0.79500000000000004</v>
      </c>
      <c r="F38" s="97">
        <v>0.85799999999999998</v>
      </c>
      <c r="G38" s="97">
        <v>0.91900000000000004</v>
      </c>
      <c r="H38" s="75">
        <f t="shared" si="124"/>
        <v>0.91900000000000004</v>
      </c>
      <c r="I38" s="226">
        <v>5.6660000000000004</v>
      </c>
      <c r="J38" s="226">
        <v>5.77</v>
      </c>
      <c r="K38" s="226">
        <v>5.17</v>
      </c>
      <c r="L38" s="102">
        <v>4.2590000000000003</v>
      </c>
      <c r="M38" s="103">
        <f>L38</f>
        <v>4.2590000000000003</v>
      </c>
      <c r="N38" s="102">
        <v>3.1970000000000001</v>
      </c>
      <c r="O38" s="102">
        <v>2.4409999999999998</v>
      </c>
      <c r="P38" s="102">
        <v>1.4910000000000001</v>
      </c>
      <c r="Q38" s="102">
        <v>-2.2869999999999999</v>
      </c>
      <c r="R38" s="94">
        <f>Q38</f>
        <v>-2.2869999999999999</v>
      </c>
      <c r="S38" s="102">
        <v>-13.904</v>
      </c>
      <c r="T38" s="102">
        <v>-16.396999999999998</v>
      </c>
      <c r="U38" s="102">
        <v>-19.609000000000002</v>
      </c>
      <c r="V38" s="102">
        <v>-16.361999999999998</v>
      </c>
      <c r="W38" s="103">
        <f t="shared" si="126"/>
        <v>-16.361999999999998</v>
      </c>
      <c r="X38" s="102">
        <v>-11.798</v>
      </c>
      <c r="Y38" s="102">
        <v>-9.2029999999999994</v>
      </c>
      <c r="Z38" s="102">
        <v>-5.3959999999999999</v>
      </c>
      <c r="AA38" s="102">
        <v>-3.085</v>
      </c>
      <c r="AB38" s="103">
        <f>AA38</f>
        <v>-3.085</v>
      </c>
      <c r="AC38" s="102">
        <v>-2.1920000000000002</v>
      </c>
      <c r="AD38" s="228">
        <f>AC38</f>
        <v>-2.1920000000000002</v>
      </c>
      <c r="AE38" s="228">
        <f>AD38</f>
        <v>-2.1920000000000002</v>
      </c>
      <c r="AF38" s="228">
        <f>AE38</f>
        <v>-2.1920000000000002</v>
      </c>
      <c r="AG38" s="103">
        <f>AF38</f>
        <v>-2.1920000000000002</v>
      </c>
      <c r="AH38" s="228">
        <f>AG38</f>
        <v>-2.1920000000000002</v>
      </c>
      <c r="AI38" s="228">
        <f>AH38</f>
        <v>-2.1920000000000002</v>
      </c>
      <c r="AJ38" s="228">
        <f>AI38</f>
        <v>-2.1920000000000002</v>
      </c>
      <c r="AK38" s="228">
        <f>AJ38</f>
        <v>-2.1920000000000002</v>
      </c>
      <c r="AL38" s="103">
        <f>AK38</f>
        <v>-2.1920000000000002</v>
      </c>
    </row>
    <row r="39" spans="1:38" x14ac:dyDescent="0.35">
      <c r="A39" s="395"/>
      <c r="B39" s="201" t="s">
        <v>158</v>
      </c>
      <c r="C39" s="53"/>
      <c r="D39" s="224">
        <f>-608.435</f>
        <v>-608.43499999999995</v>
      </c>
      <c r="E39" s="102">
        <f>-640.851</f>
        <v>-640.851</v>
      </c>
      <c r="F39" s="102">
        <f>-663.988</f>
        <v>-663.98800000000006</v>
      </c>
      <c r="G39" s="102">
        <f>-699.171</f>
        <v>-699.17100000000005</v>
      </c>
      <c r="H39" s="103">
        <f t="shared" si="124"/>
        <v>-699.17100000000005</v>
      </c>
      <c r="I39" s="102">
        <v>-734.94600000000003</v>
      </c>
      <c r="J39" s="102">
        <v>-794.58299999999997</v>
      </c>
      <c r="K39" s="102">
        <v>-852.90599999999995</v>
      </c>
      <c r="L39" s="102">
        <v>-929.31799999999998</v>
      </c>
      <c r="M39" s="103">
        <f>L39</f>
        <v>-929.31799999999998</v>
      </c>
      <c r="N39" s="102">
        <v>-986.97299999999996</v>
      </c>
      <c r="O39" s="102">
        <v>-1102.999</v>
      </c>
      <c r="P39" s="102">
        <v>-1254.2719999999999</v>
      </c>
      <c r="Q39" s="102">
        <v>-1394.836</v>
      </c>
      <c r="R39" s="103">
        <f>Q39</f>
        <v>-1394.836</v>
      </c>
      <c r="S39" s="102">
        <v>-1533.431</v>
      </c>
      <c r="T39" s="102">
        <v>-1678.5820000000001</v>
      </c>
      <c r="U39" s="102">
        <v>-1800.0619999999999</v>
      </c>
      <c r="V39" s="102">
        <v>-1942.635</v>
      </c>
      <c r="W39" s="103">
        <f t="shared" si="126"/>
        <v>-1942.635</v>
      </c>
      <c r="X39" s="102">
        <v>-2079.5720000000001</v>
      </c>
      <c r="Y39" s="102">
        <v>-2190.375</v>
      </c>
      <c r="Z39" s="102">
        <v>-2299.4050000000002</v>
      </c>
      <c r="AA39" s="102">
        <v>-2377.4360000000001</v>
      </c>
      <c r="AB39" s="103">
        <f>AA39</f>
        <v>-2377.4360000000001</v>
      </c>
      <c r="AC39" s="228">
        <v>-2445.0349999999999</v>
      </c>
      <c r="AD39" s="228">
        <f>AC39*(1+2%)</f>
        <v>-2493.9357</v>
      </c>
      <c r="AE39" s="228">
        <f t="shared" ref="AE39:AF39" si="127">AD39*(1+2%)</f>
        <v>-2543.8144139999999</v>
      </c>
      <c r="AF39" s="228">
        <f t="shared" si="127"/>
        <v>-2594.6907022800001</v>
      </c>
      <c r="AG39" s="103">
        <f>AF39</f>
        <v>-2594.6907022800001</v>
      </c>
      <c r="AH39" s="228">
        <f>AF39*(1+2%)</f>
        <v>-2646.5845163256004</v>
      </c>
      <c r="AI39" s="228">
        <f t="shared" ref="AI39:AK39" si="128">AG39*(1+2%)</f>
        <v>-2646.5845163256004</v>
      </c>
      <c r="AJ39" s="228">
        <f t="shared" si="128"/>
        <v>-2699.5162066521125</v>
      </c>
      <c r="AK39" s="228">
        <f t="shared" si="128"/>
        <v>-2699.5162066521125</v>
      </c>
      <c r="AL39" s="103">
        <f>AK39</f>
        <v>-2699.5162066521125</v>
      </c>
    </row>
    <row r="40" spans="1:38" s="19" customFormat="1" ht="13.9" x14ac:dyDescent="0.4">
      <c r="A40" s="395" t="s">
        <v>36</v>
      </c>
      <c r="B40" s="205" t="s">
        <v>164</v>
      </c>
      <c r="C40" s="76"/>
      <c r="D40" s="73">
        <f>SUM(D36:D39)</f>
        <v>4.98599999999999</v>
      </c>
      <c r="E40" s="73">
        <f t="shared" ref="E40:G40" si="129">SUM(E36:E39)</f>
        <v>93.087999999999852</v>
      </c>
      <c r="F40" s="73">
        <f t="shared" si="129"/>
        <v>84.693999999999846</v>
      </c>
      <c r="G40" s="73">
        <f t="shared" si="129"/>
        <v>278.71100000000001</v>
      </c>
      <c r="H40" s="74">
        <f t="shared" si="124"/>
        <v>278.71100000000001</v>
      </c>
      <c r="I40" s="73">
        <f>SUM(I36:I39)</f>
        <v>258.92700000000002</v>
      </c>
      <c r="J40" s="73">
        <f t="shared" ref="J40:L40" si="130">SUM(J36:J39)</f>
        <v>304.26699999999994</v>
      </c>
      <c r="K40" s="73">
        <f t="shared" si="130"/>
        <v>536.00000000000023</v>
      </c>
      <c r="L40" s="73">
        <f t="shared" si="130"/>
        <v>486.2360000000001</v>
      </c>
      <c r="M40" s="74">
        <f>SUM(M36:M39)</f>
        <v>486.2360000000001</v>
      </c>
      <c r="N40" s="73">
        <f>SUM(N36:N39)</f>
        <v>372.44499999999994</v>
      </c>
      <c r="O40" s="73">
        <f t="shared" ref="O40" si="131">SUM(O36:O39)</f>
        <v>299.11000000000013</v>
      </c>
      <c r="P40" s="73">
        <f t="shared" ref="P40" si="132">SUM(P36:P39)</f>
        <v>759.01700000000005</v>
      </c>
      <c r="Q40" s="73">
        <f t="shared" ref="Q40" si="133">SUM(Q36:Q39)</f>
        <v>653.30400000000031</v>
      </c>
      <c r="R40" s="74">
        <f>SUM(R36:R39)</f>
        <v>653.30400000000031</v>
      </c>
      <c r="S40" s="73">
        <f t="shared" ref="S40" si="134">SUM(S36:S39)</f>
        <v>542.33500000000004</v>
      </c>
      <c r="T40" s="73">
        <f t="shared" ref="T40" si="135">SUM(T36:T39)</f>
        <v>444.58200000000011</v>
      </c>
      <c r="U40" s="73">
        <f t="shared" ref="U40" si="136">SUM(U36:U39)</f>
        <v>361.62100000000055</v>
      </c>
      <c r="V40" s="73">
        <f t="shared" ref="V40:X40" si="137">SUM(V36:V39)</f>
        <v>705.74399999999991</v>
      </c>
      <c r="W40" s="74">
        <f t="shared" si="137"/>
        <v>705.74399999999991</v>
      </c>
      <c r="X40" s="73">
        <f t="shared" si="137"/>
        <v>650.57299999999987</v>
      </c>
      <c r="Y40" s="73">
        <f t="shared" ref="Y40" si="138">SUM(Y36:Y39)</f>
        <v>596.14699999999993</v>
      </c>
      <c r="Z40" s="73">
        <f t="shared" ref="Z40" si="139">SUM(Z36:Z39)</f>
        <v>784.65799999999945</v>
      </c>
      <c r="AA40" s="73">
        <f t="shared" ref="AA40:AC40" si="140">SUM(AA36:AA39)</f>
        <v>765.32699999999977</v>
      </c>
      <c r="AB40" s="74">
        <f t="shared" si="140"/>
        <v>765.32699999999977</v>
      </c>
      <c r="AC40" s="73">
        <f t="shared" si="140"/>
        <v>794.11100000000033</v>
      </c>
      <c r="AD40" s="73">
        <f t="shared" ref="AD40" si="141">SUM(AD36:AD39)</f>
        <v>779.61030000000028</v>
      </c>
      <c r="AE40" s="73">
        <f t="shared" ref="AE40" si="142">SUM(AE36:AE39)</f>
        <v>763.43158600000061</v>
      </c>
      <c r="AF40" s="73">
        <f t="shared" ref="AF40:AG40" si="143">SUM(AF36:AF39)</f>
        <v>775.84329772000046</v>
      </c>
      <c r="AG40" s="74">
        <f t="shared" si="143"/>
        <v>775.84329772000046</v>
      </c>
      <c r="AH40" s="73">
        <f t="shared" ref="AH40" si="144">SUM(AH36:AH39)</f>
        <v>797.64948367440002</v>
      </c>
      <c r="AI40" s="73">
        <f t="shared" ref="AI40" si="145">SUM(AI36:AI39)</f>
        <v>835.14948367440002</v>
      </c>
      <c r="AJ40" s="73">
        <f t="shared" ref="AJ40" si="146">SUM(AJ36:AJ39)</f>
        <v>878.8177933478878</v>
      </c>
      <c r="AK40" s="73">
        <f t="shared" ref="AK40" si="147">SUM(AK36:AK39)</f>
        <v>942.21779334788789</v>
      </c>
      <c r="AL40" s="74">
        <f t="shared" ref="AL40" si="148">SUM(AL36:AL39)</f>
        <v>942.21779334788789</v>
      </c>
    </row>
    <row r="41" spans="1:38" x14ac:dyDescent="0.35">
      <c r="A41" s="395"/>
      <c r="B41" s="205"/>
      <c r="C41" s="53"/>
      <c r="D41" s="51"/>
      <c r="E41" s="51"/>
      <c r="F41" s="51"/>
      <c r="G41" s="51"/>
      <c r="H41" s="75"/>
      <c r="I41" s="51"/>
      <c r="J41" s="51"/>
      <c r="K41" s="51"/>
      <c r="L41" s="51"/>
      <c r="M41" s="75"/>
      <c r="N41" s="51"/>
      <c r="O41" s="51"/>
      <c r="P41" s="51"/>
      <c r="Q41" s="51"/>
      <c r="R41" s="75"/>
      <c r="S41" s="51"/>
      <c r="T41" s="51"/>
      <c r="U41" s="51"/>
      <c r="V41" s="51"/>
      <c r="W41" s="75"/>
      <c r="X41" s="51"/>
      <c r="Y41" s="284"/>
      <c r="Z41" s="284"/>
      <c r="AA41" s="284"/>
      <c r="AB41" s="75"/>
      <c r="AC41" s="51"/>
      <c r="AD41" s="284"/>
      <c r="AE41" s="284"/>
      <c r="AF41" s="284"/>
      <c r="AG41" s="75"/>
      <c r="AH41" s="51"/>
      <c r="AI41" s="51"/>
      <c r="AJ41" s="51"/>
      <c r="AK41" s="51"/>
      <c r="AL41" s="75"/>
    </row>
    <row r="42" spans="1:38" s="19" customFormat="1" ht="13.9" x14ac:dyDescent="0.4">
      <c r="A42" s="395" t="s">
        <v>36</v>
      </c>
      <c r="B42" s="205" t="s">
        <v>165</v>
      </c>
      <c r="C42" s="76"/>
      <c r="D42" s="73">
        <f>D32+D35+D40</f>
        <v>261.44499999999999</v>
      </c>
      <c r="E42" s="73">
        <f t="shared" ref="E42:AL42" si="149">E32+E35+E40</f>
        <v>383.32599999999985</v>
      </c>
      <c r="F42" s="73">
        <f t="shared" si="149"/>
        <v>380.24999999999983</v>
      </c>
      <c r="G42" s="73">
        <f t="shared" si="149"/>
        <v>582.65599999999995</v>
      </c>
      <c r="H42" s="74">
        <f t="shared" si="149"/>
        <v>582.65599999999995</v>
      </c>
      <c r="I42" s="73">
        <f t="shared" si="149"/>
        <v>558.63900000000001</v>
      </c>
      <c r="J42" s="73">
        <f t="shared" si="149"/>
        <v>723.26099999999997</v>
      </c>
      <c r="K42" s="73">
        <f t="shared" si="149"/>
        <v>976.71300000000019</v>
      </c>
      <c r="L42" s="73">
        <f t="shared" si="149"/>
        <v>932.15300000000013</v>
      </c>
      <c r="M42" s="74">
        <f t="shared" si="149"/>
        <v>932.15300000000013</v>
      </c>
      <c r="N42" s="73">
        <f t="shared" si="149"/>
        <v>893.51199999999994</v>
      </c>
      <c r="O42" s="73">
        <f t="shared" si="149"/>
        <v>849.95600000000013</v>
      </c>
      <c r="P42" s="73">
        <f t="shared" si="149"/>
        <v>1311.374</v>
      </c>
      <c r="Q42" s="73">
        <f t="shared" si="149"/>
        <v>1236.4870000000003</v>
      </c>
      <c r="R42" s="74">
        <f t="shared" si="149"/>
        <v>1236.4870000000003</v>
      </c>
      <c r="S42" s="73">
        <f t="shared" si="149"/>
        <v>1144.6640000000002</v>
      </c>
      <c r="T42" s="73">
        <f t="shared" si="149"/>
        <v>1066.9760000000001</v>
      </c>
      <c r="U42" s="73">
        <f t="shared" si="149"/>
        <v>1009.1120000000005</v>
      </c>
      <c r="V42" s="73">
        <f t="shared" si="149"/>
        <v>1394.4739999999999</v>
      </c>
      <c r="W42" s="74">
        <f t="shared" si="149"/>
        <v>1394.4739999999999</v>
      </c>
      <c r="X42" s="73">
        <f t="shared" si="149"/>
        <v>1318.8799999999999</v>
      </c>
      <c r="Y42" s="73">
        <f t="shared" si="149"/>
        <v>1247.893</v>
      </c>
      <c r="Z42" s="73">
        <f t="shared" si="149"/>
        <v>1446.5199999999995</v>
      </c>
      <c r="AA42" s="73">
        <f t="shared" si="149"/>
        <v>1441.6989999999998</v>
      </c>
      <c r="AB42" s="74">
        <f t="shared" si="149"/>
        <v>1441.6989999999998</v>
      </c>
      <c r="AC42" s="73">
        <f t="shared" si="149"/>
        <v>1468.2050000000004</v>
      </c>
      <c r="AD42" s="73">
        <f t="shared" si="149"/>
        <v>1445.6050388315443</v>
      </c>
      <c r="AE42" s="73">
        <f t="shared" si="149"/>
        <v>1429.263471937061</v>
      </c>
      <c r="AF42" s="73">
        <f t="shared" si="149"/>
        <v>1440.1913151061538</v>
      </c>
      <c r="AG42" s="74">
        <f t="shared" si="149"/>
        <v>1440.1913151061538</v>
      </c>
      <c r="AH42" s="73">
        <f t="shared" si="149"/>
        <v>1465.4760849894685</v>
      </c>
      <c r="AI42" s="73">
        <f t="shared" si="149"/>
        <v>1501.5839427196447</v>
      </c>
      <c r="AJ42" s="73">
        <f t="shared" si="149"/>
        <v>1545.0853272346592</v>
      </c>
      <c r="AK42" s="73">
        <f t="shared" si="149"/>
        <v>1608.4985094111298</v>
      </c>
      <c r="AL42" s="74">
        <f t="shared" si="149"/>
        <v>1608.4985094111298</v>
      </c>
    </row>
    <row r="43" spans="1:38" s="19" customFormat="1" ht="5.75" customHeight="1" x14ac:dyDescent="0.4">
      <c r="A43" s="395"/>
      <c r="B43" s="205"/>
      <c r="C43" s="76"/>
      <c r="D43" s="232"/>
      <c r="E43" s="52"/>
      <c r="F43" s="52"/>
      <c r="G43" s="52"/>
      <c r="H43" s="80"/>
      <c r="I43" s="232"/>
      <c r="J43" s="52"/>
      <c r="K43" s="52"/>
      <c r="L43" s="52"/>
      <c r="M43" s="80"/>
      <c r="N43" s="232"/>
      <c r="O43" s="52"/>
      <c r="P43" s="52"/>
      <c r="Q43" s="52"/>
      <c r="R43" s="80"/>
      <c r="S43" s="232"/>
      <c r="T43" s="52"/>
      <c r="U43" s="52"/>
      <c r="V43" s="52"/>
      <c r="W43" s="80"/>
      <c r="X43" s="232"/>
      <c r="Y43" s="52"/>
      <c r="Z43" s="52"/>
      <c r="AA43" s="52"/>
      <c r="AB43" s="80"/>
      <c r="AC43" s="232"/>
      <c r="AD43" s="52"/>
      <c r="AE43" s="52"/>
      <c r="AF43" s="52"/>
      <c r="AG43" s="80"/>
      <c r="AH43" s="232"/>
      <c r="AI43" s="52"/>
      <c r="AJ43" s="52"/>
      <c r="AK43" s="52"/>
      <c r="AL43" s="80"/>
    </row>
    <row r="44" spans="1:38" s="39" customFormat="1" x14ac:dyDescent="0.35">
      <c r="A44" s="398" t="s">
        <v>36</v>
      </c>
      <c r="B44" s="88" t="s">
        <v>166</v>
      </c>
      <c r="C44" s="268"/>
      <c r="D44" s="307">
        <f>D42-D17</f>
        <v>4.9999999999386091E-3</v>
      </c>
      <c r="E44" s="307">
        <f t="shared" ref="E44:H44" si="150">E42-E17</f>
        <v>4.8999999999864485E-2</v>
      </c>
      <c r="F44" s="307">
        <f t="shared" si="150"/>
        <v>3.6999999999864031E-2</v>
      </c>
      <c r="G44" s="307">
        <f t="shared" si="150"/>
        <v>1.7999999999915417E-2</v>
      </c>
      <c r="H44" s="308">
        <f t="shared" si="150"/>
        <v>1.7999999999915417E-2</v>
      </c>
      <c r="I44" s="307">
        <f>I42-I17</f>
        <v>1.8000000000029104E-2</v>
      </c>
      <c r="J44" s="307">
        <f>ROUND(J42-J17,0.5)</f>
        <v>0</v>
      </c>
      <c r="K44" s="307">
        <f t="shared" ref="K44:L44" si="151">ROUND(K42-K17,0.5)</f>
        <v>0</v>
      </c>
      <c r="L44" s="307">
        <f t="shared" si="151"/>
        <v>0</v>
      </c>
      <c r="M44" s="308">
        <f t="shared" ref="M44:AL44" si="152">M42-M17</f>
        <v>2.9000000000110049E-2</v>
      </c>
      <c r="N44" s="307">
        <f t="shared" si="152"/>
        <v>2.8999999999996362E-2</v>
      </c>
      <c r="O44" s="307">
        <f t="shared" si="152"/>
        <v>2.9000000000223736E-2</v>
      </c>
      <c r="P44" s="307">
        <f t="shared" si="152"/>
        <v>2.9000000000223736E-2</v>
      </c>
      <c r="Q44" s="307">
        <f t="shared" si="152"/>
        <v>2.9000000000451109E-2</v>
      </c>
      <c r="R44" s="308">
        <f t="shared" si="152"/>
        <v>2.9000000000451109E-2</v>
      </c>
      <c r="S44" s="307">
        <f t="shared" si="152"/>
        <v>2.9000000000451109E-2</v>
      </c>
      <c r="T44" s="307">
        <f t="shared" si="152"/>
        <v>2.9000000000223736E-2</v>
      </c>
      <c r="U44" s="307">
        <f t="shared" si="152"/>
        <v>2.9000000000678483E-2</v>
      </c>
      <c r="V44" s="307">
        <f t="shared" si="152"/>
        <v>2.9000000000223736E-2</v>
      </c>
      <c r="W44" s="308">
        <f t="shared" si="152"/>
        <v>2.9000000000223736E-2</v>
      </c>
      <c r="X44" s="307">
        <f t="shared" si="152"/>
        <v>2.8999999999768988E-2</v>
      </c>
      <c r="Y44" s="307">
        <f t="shared" si="152"/>
        <v>2.8999999999996362E-2</v>
      </c>
      <c r="Z44" s="307">
        <f t="shared" si="152"/>
        <v>2.8999999999541615E-2</v>
      </c>
      <c r="AA44" s="307">
        <f t="shared" si="152"/>
        <v>2.1999999999707143E-2</v>
      </c>
      <c r="AB44" s="308">
        <f t="shared" si="152"/>
        <v>2.1999999999707143E-2</v>
      </c>
      <c r="AC44" s="307">
        <f t="shared" si="152"/>
        <v>2.2000000000389264E-2</v>
      </c>
      <c r="AD44" s="307">
        <f t="shared" si="152"/>
        <v>-2.3241739972945652E-4</v>
      </c>
      <c r="AE44" s="307">
        <f t="shared" si="152"/>
        <v>-1.6691701552417726E-2</v>
      </c>
      <c r="AF44" s="307">
        <f t="shared" si="152"/>
        <v>-4.5909856041134844E-2</v>
      </c>
      <c r="AG44" s="308">
        <f t="shared" si="152"/>
        <v>-4.5909856041134844E-2</v>
      </c>
      <c r="AH44" s="307">
        <f t="shared" si="152"/>
        <v>-4.239507381112162E-2</v>
      </c>
      <c r="AI44" s="307">
        <f t="shared" si="152"/>
        <v>2.4797278674668632E-3</v>
      </c>
      <c r="AJ44" s="307">
        <f t="shared" si="152"/>
        <v>-2.6466663637847887E-2</v>
      </c>
      <c r="AK44" s="307">
        <f t="shared" si="152"/>
        <v>4.9511841230014397E-2</v>
      </c>
      <c r="AL44" s="308">
        <f t="shared" si="152"/>
        <v>4.9511841230014397E-2</v>
      </c>
    </row>
    <row r="45" spans="1:38" x14ac:dyDescent="0.35">
      <c r="A45" s="395"/>
      <c r="B45" s="51"/>
      <c r="C45" s="53"/>
      <c r="D45" s="51"/>
      <c r="E45" s="51"/>
      <c r="F45" s="51"/>
      <c r="G45" s="51"/>
      <c r="H45" s="75"/>
      <c r="I45" s="51"/>
      <c r="J45" s="51"/>
      <c r="K45" s="51"/>
      <c r="L45" s="51"/>
      <c r="M45" s="75"/>
      <c r="N45" s="51"/>
      <c r="O45" s="51"/>
      <c r="P45" s="51"/>
      <c r="Q45" s="51"/>
      <c r="R45" s="75"/>
      <c r="S45" s="51"/>
      <c r="T45" s="51"/>
      <c r="U45" s="51"/>
      <c r="V45" s="51"/>
      <c r="W45" s="75"/>
      <c r="X45" s="51"/>
      <c r="Y45" s="51"/>
      <c r="Z45" s="51"/>
      <c r="AA45" s="51"/>
      <c r="AB45" s="75"/>
      <c r="AC45" s="51"/>
      <c r="AD45" s="51"/>
      <c r="AE45" s="51"/>
      <c r="AF45" s="51"/>
      <c r="AG45" s="75"/>
      <c r="AH45" s="51"/>
      <c r="AI45" s="51"/>
      <c r="AJ45" s="51"/>
      <c r="AK45" s="51"/>
      <c r="AL45" s="75"/>
    </row>
    <row r="46" spans="1:38" ht="13.9" x14ac:dyDescent="0.4">
      <c r="A46" s="399" t="s">
        <v>36</v>
      </c>
      <c r="B46" s="164" t="s">
        <v>230</v>
      </c>
      <c r="C46" s="163"/>
      <c r="D46" s="115"/>
      <c r="E46" s="115"/>
      <c r="F46" s="115"/>
      <c r="G46" s="115"/>
      <c r="H46" s="116"/>
      <c r="I46" s="115"/>
      <c r="J46" s="115"/>
      <c r="K46" s="115"/>
      <c r="L46" s="115"/>
      <c r="M46" s="116"/>
      <c r="N46" s="115"/>
      <c r="O46" s="115"/>
      <c r="P46" s="115"/>
      <c r="Q46" s="115"/>
      <c r="R46" s="116"/>
      <c r="S46" s="115"/>
      <c r="T46" s="115"/>
      <c r="U46" s="115"/>
      <c r="V46" s="115"/>
      <c r="W46" s="116"/>
      <c r="X46" s="115"/>
      <c r="Y46" s="115"/>
      <c r="Z46" s="115"/>
      <c r="AA46" s="115"/>
      <c r="AB46" s="116"/>
      <c r="AC46" s="115"/>
      <c r="AD46" s="115"/>
      <c r="AE46" s="115"/>
      <c r="AF46" s="115"/>
      <c r="AG46" s="116"/>
      <c r="AH46" s="115"/>
      <c r="AI46" s="115"/>
      <c r="AJ46" s="115"/>
      <c r="AK46" s="115"/>
      <c r="AL46" s="117"/>
    </row>
    <row r="47" spans="1:38" ht="13.9" x14ac:dyDescent="0.4">
      <c r="A47" s="399"/>
      <c r="B47" s="118" t="s">
        <v>169</v>
      </c>
      <c r="C47" s="53"/>
      <c r="D47" s="234">
        <f>IF(ISERROR((365/4)/(IS!D9/BS!D10)),"NM",(365/4)/(IS!D9/BS!D10))</f>
        <v>82.331740841613794</v>
      </c>
      <c r="E47" s="234">
        <f>IF(ISERROR((365/4)/(IS!E9/BS!E10)),"NM",(365/4)/(IS!E9/BS!E10))</f>
        <v>77.283000470714811</v>
      </c>
      <c r="F47" s="234">
        <f>IF(ISERROR((365/4)/(IS!F9/BS!F10)),"NM",(365/4)/(IS!F9/BS!F10))</f>
        <v>68.991788496836051</v>
      </c>
      <c r="G47" s="234">
        <f>IF(ISERROR((365/4)/(IS!G9/BS!G10)),"NM",(365/4)/(IS!G9/BS!G10))</f>
        <v>58.471501579408837</v>
      </c>
      <c r="H47" s="237">
        <f>(365)/(IS!H9/BS!H10)</f>
        <v>64.406509738810044</v>
      </c>
      <c r="I47" s="234">
        <f>IF(ISERROR((365/4)/(IS!I9/BS!I10)),"NM",(365/4)/(IS!I9/BS!I10))</f>
        <v>59.767915266136235</v>
      </c>
      <c r="J47" s="234">
        <f>IF(ISERROR((365/4)/(IS!J9/BS!J10)),"NM",(365/4)/(IS!J9/BS!J10))</f>
        <v>61.949792996576925</v>
      </c>
      <c r="K47" s="234">
        <f>IF(ISERROR((365/4)/(IS!K9/BS!K10)),"NM",(365/4)/(IS!K9/BS!K10))</f>
        <v>65.710264613879758</v>
      </c>
      <c r="L47" s="234">
        <f>IF(ISERROR((365/4)/(IS!L9/BS!L10)),"NM",(365/4)/(IS!L9/BS!L10))</f>
        <v>63.800370660425209</v>
      </c>
      <c r="M47" s="237">
        <f>(365)/(IS!M9/BS!M10)</f>
        <v>73.341854350706143</v>
      </c>
      <c r="N47" s="234">
        <f>IF(ISERROR((365/4)/(IS!N9/BS!N10)),"NM",(365/4)/(IS!N9/BS!N10))</f>
        <v>52.456948055358595</v>
      </c>
      <c r="O47" s="234">
        <f>IF(ISERROR((365/4)/(IS!O9/BS!O10)),"NM",(365/4)/(IS!O9/BS!O10))</f>
        <v>64.332322954951906</v>
      </c>
      <c r="P47" s="234">
        <f>IF(ISERROR((365/4)/(IS!P9/BS!P10)),"NM",(365/4)/(IS!P9/BS!P10))</f>
        <v>63.721950972703574</v>
      </c>
      <c r="Q47" s="234">
        <f>IF(ISERROR((365/4)/(IS!Q9/BS!Q10)),"NM",(365/4)/(IS!Q9/BS!Q10))</f>
        <v>64.378323161569213</v>
      </c>
      <c r="R47" s="237">
        <f>(365)/(IS!R9/BS!R10)</f>
        <v>71.235823024016526</v>
      </c>
      <c r="S47" s="234">
        <f>IF(ISERROR((365/4)/(IS!S9/BS!S10)),"NM",(365/4)/(IS!S9/BS!S10))</f>
        <v>78.901616417610612</v>
      </c>
      <c r="T47" s="234">
        <f>IF(ISERROR((365/4)/(IS!T9/BS!T10)),"NM",(365/4)/(IS!T9/BS!T10))</f>
        <v>95.905499495459139</v>
      </c>
      <c r="U47" s="234">
        <f>IF(ISERROR((365/4)/(IS!U9/BS!U10)),"NM",(365/4)/(IS!U9/BS!U10))</f>
        <v>102.39432056096507</v>
      </c>
      <c r="V47" s="234">
        <f>IF(ISERROR((365/4)/(IS!V9/BS!V10)),"NM",(365/4)/(IS!V9/BS!V10))</f>
        <v>102.64637955001562</v>
      </c>
      <c r="W47" s="237">
        <f>(365)/(IS!W9/BS!W10)</f>
        <v>108.75168551928623</v>
      </c>
      <c r="X47" s="234">
        <f>IF(ISERROR((365/4)/(IS!X9/BS!X10)),"NM",(365/4)/(IS!X9/BS!X10))</f>
        <v>93.148179362663186</v>
      </c>
      <c r="Y47" s="234">
        <f>IF(ISERROR((365/4)/(IS!Y9/BS!Y10)),"NM",(365/4)/(IS!Y9/BS!Y10))</f>
        <v>90.782586532723286</v>
      </c>
      <c r="Z47" s="234">
        <f>IF(ISERROR((365/4)/(IS!Z9/BS!Z10)),"NM",(365/4)/(IS!Z9/BS!Z10))</f>
        <v>86.774666798357075</v>
      </c>
      <c r="AA47" s="234">
        <f>IF(ISERROR((365/4)/(IS!AA9/BS!AA10)),"NM",(365/4)/(IS!AA9/BS!AA10))</f>
        <v>81.624760932804037</v>
      </c>
      <c r="AB47" s="237">
        <f>(365)/(IS!AB9/BS!AB10)</f>
        <v>93.82801220428037</v>
      </c>
      <c r="AC47" s="179">
        <v>70</v>
      </c>
      <c r="AD47" s="179">
        <v>75</v>
      </c>
      <c r="AE47" s="179">
        <v>68</v>
      </c>
      <c r="AF47" s="179">
        <v>60</v>
      </c>
      <c r="AG47" s="237">
        <f>(365)/(IS!AG9/BS!AG10)</f>
        <v>61.124312413376693</v>
      </c>
      <c r="AH47" s="179">
        <v>60</v>
      </c>
      <c r="AI47" s="179">
        <v>60</v>
      </c>
      <c r="AJ47" s="179">
        <v>55</v>
      </c>
      <c r="AK47" s="179">
        <v>50</v>
      </c>
      <c r="AL47" s="267">
        <f>(365)/(IS!AL9/BS!AL10)</f>
        <v>49.733798168646786</v>
      </c>
    </row>
    <row r="48" spans="1:38" ht="13.9" x14ac:dyDescent="0.4">
      <c r="A48" s="399"/>
      <c r="B48" s="118" t="s">
        <v>170</v>
      </c>
      <c r="C48" s="53"/>
      <c r="D48" s="234">
        <f>IF(ISERROR((365/4)/(IS!D10/BS!D11)),"NM",(365/4)/(IS!D10/BS!D11))</f>
        <v>28.970394660878</v>
      </c>
      <c r="E48" s="234">
        <f>IF(ISERROR((365/4)/(IS!E10/BS!E11)),"NM",(365/4)/(IS!E10/BS!E11))</f>
        <v>31.723559612093556</v>
      </c>
      <c r="F48" s="234">
        <f>IF(ISERROR((365/4)/(IS!F10/BS!F11)),"NM",(365/4)/(IS!F10/BS!F11))</f>
        <v>26.023302187784868</v>
      </c>
      <c r="G48" s="234">
        <f>IF(ISERROR((365/4)/(IS!G10/BS!G11)),"NM",(365/4)/(IS!G10/BS!G11))</f>
        <v>25.436383878368019</v>
      </c>
      <c r="H48" s="237">
        <f>(365)/(IS!H10/BS!H11)</f>
        <v>25.78110218270929</v>
      </c>
      <c r="I48" s="234">
        <f>IF(ISERROR((365/4)/(IS!I10/BS!I11)),"NM",(365/4)/(IS!I10/BS!I11))</f>
        <v>28.729406598781626</v>
      </c>
      <c r="J48" s="234">
        <f>IF(ISERROR((365/4)/(IS!J10/BS!J11)),"NM",(365/4)/(IS!J10/BS!J11))</f>
        <v>35.056376360808713</v>
      </c>
      <c r="K48" s="234">
        <f>IF(ISERROR((365/4)/(IS!K10/BS!K11)),"NM",(365/4)/(IS!K10/BS!K11))</f>
        <v>35.881230582196402</v>
      </c>
      <c r="L48" s="234">
        <f>IF(ISERROR((365/4)/(IS!L10/BS!L11)),"NM",(365/4)/(IS!L10/BS!L11))</f>
        <v>30.523842724023908</v>
      </c>
      <c r="M48" s="237">
        <f>(365)/(IS!M10/BS!M11)</f>
        <v>35.906664374815833</v>
      </c>
      <c r="N48" s="234">
        <f>IF(ISERROR((365/4)/(IS!N10/BS!N11)),"NM",(365/4)/(IS!N10/BS!N11))</f>
        <v>32.335548471105916</v>
      </c>
      <c r="O48" s="234">
        <f>IF(ISERROR((365/4)/(IS!O10/BS!O11)),"NM",(365/4)/(IS!O10/BS!O11))</f>
        <v>34.059297482657129</v>
      </c>
      <c r="P48" s="234">
        <f>IF(ISERROR((365/4)/(IS!P10/BS!P11)),"NM",(365/4)/(IS!P10/BS!P11))</f>
        <v>31.424063855673399</v>
      </c>
      <c r="Q48" s="234">
        <f>IF(ISERROR((365/4)/(IS!Q10/BS!Q11)),"NM",(365/4)/(IS!Q10/BS!Q11))</f>
        <v>26.087909840419876</v>
      </c>
      <c r="R48" s="237">
        <f>(365)/(IS!R10/BS!R11)</f>
        <v>30.845570916217046</v>
      </c>
      <c r="S48" s="234">
        <f>IF(ISERROR((365/4)/(IS!S10/BS!S11)),"NM",(365/4)/(IS!S10/BS!S11))</f>
        <v>22.144358862568424</v>
      </c>
      <c r="T48" s="234">
        <f>IF(ISERROR((365/4)/(IS!T10/BS!T11)),"NM",(365/4)/(IS!T10/BS!T11))</f>
        <v>25.448623177128631</v>
      </c>
      <c r="U48" s="234">
        <f>IF(ISERROR((365/4)/(IS!U10/BS!U11)),"NM",(365/4)/(IS!U10/BS!U11))</f>
        <v>31.662446786597087</v>
      </c>
      <c r="V48" s="234">
        <f>IF(ISERROR((365/4)/(IS!V10/BS!V11)),"NM",(365/4)/(IS!V10/BS!V11))</f>
        <v>25.380994092323157</v>
      </c>
      <c r="W48" s="237">
        <f>(365)/(IS!W10/BS!W11)</f>
        <v>28.324427514377888</v>
      </c>
      <c r="X48" s="234">
        <f>IF(ISERROR((365/4)/(IS!X10/BS!X11)),"NM",(365/4)/(IS!X10/BS!X11))</f>
        <v>25.062270462585403</v>
      </c>
      <c r="Y48" s="234">
        <f>IF(ISERROR((365/4)/(IS!Y10/BS!Y11)),"NM",(365/4)/(IS!Y10/BS!Y11))</f>
        <v>27.211367176857681</v>
      </c>
      <c r="Z48" s="234">
        <f>IF(ISERROR((365/4)/(IS!Z10/BS!Z11)),"NM",(365/4)/(IS!Z10/BS!Z11))</f>
        <v>26.063464371296106</v>
      </c>
      <c r="AA48" s="234">
        <f>IF(ISERROR((365/4)/(IS!AA10/BS!AA11)),"NM",(365/4)/(IS!AA10/BS!AA11))</f>
        <v>24.590628243865993</v>
      </c>
      <c r="AB48" s="237">
        <f>(365)/(IS!AB10/BS!AB11)</f>
        <v>25.222538320298526</v>
      </c>
      <c r="AC48" s="179">
        <v>24</v>
      </c>
      <c r="AD48" s="179">
        <v>23</v>
      </c>
      <c r="AE48" s="179">
        <v>21</v>
      </c>
      <c r="AF48" s="179">
        <v>20</v>
      </c>
      <c r="AG48" s="237">
        <f>(365)/(IS!AG10/BS!AG11)</f>
        <v>20.323365287189123</v>
      </c>
      <c r="AH48" s="179">
        <v>24</v>
      </c>
      <c r="AI48" s="179">
        <v>26</v>
      </c>
      <c r="AJ48" s="179">
        <v>25</v>
      </c>
      <c r="AK48" s="179">
        <v>21</v>
      </c>
      <c r="AL48" s="267">
        <f>(365)/(IS!AL10/BS!AL11)</f>
        <v>20.525169674065978</v>
      </c>
    </row>
    <row r="49" spans="1:40" ht="13.9" x14ac:dyDescent="0.4">
      <c r="A49" s="399"/>
      <c r="B49" s="118" t="s">
        <v>171</v>
      </c>
      <c r="C49" s="53"/>
      <c r="D49" s="234">
        <f>IF(ISERROR((365/4)/(IS!D10/BS!D21)),"NM",(365/4)/(IS!D10/BS!D21))</f>
        <v>18.790297438976516</v>
      </c>
      <c r="E49" s="234">
        <f>IF(ISERROR((365/4)/(IS!E10/BS!E21)),"NM",(365/4)/(IS!E10/BS!E21))</f>
        <v>17.321363377067886</v>
      </c>
      <c r="F49" s="234">
        <f>IF(ISERROR((365/4)/(IS!F10/BS!F21)),"NM",(365/4)/(IS!F10/BS!F21))</f>
        <v>19.206586144029174</v>
      </c>
      <c r="G49" s="234">
        <f>IF(ISERROR((365/4)/(IS!G10/BS!G21)),"NM",(365/4)/(IS!G10/BS!G21))</f>
        <v>17.658112545544491</v>
      </c>
      <c r="H49" s="237">
        <f>(365)/(IS!H10/BS!H21)</f>
        <v>17.897418362113179</v>
      </c>
      <c r="I49" s="234">
        <f>IF(ISERROR((365/4)/(IS!I10/BS!I21)),"NM",(365/4)/(IS!I10/BS!I21))</f>
        <v>16.978772955667214</v>
      </c>
      <c r="J49" s="234">
        <f>IF(ISERROR((365/4)/(IS!J10/BS!J21)),"NM",(365/4)/(IS!J10/BS!J21))</f>
        <v>6.7068429237947127</v>
      </c>
      <c r="K49" s="234">
        <f>IF(ISERROR((365/4)/(IS!K10/BS!K21)),"NM",(365/4)/(IS!K10/BS!K21))</f>
        <v>16.288039597846435</v>
      </c>
      <c r="L49" s="234">
        <f>IF(ISERROR((365/4)/(IS!L10/BS!L21)),"NM",(365/4)/(IS!L10/BS!L21))</f>
        <v>12.336929294278747</v>
      </c>
      <c r="M49" s="237">
        <f>(365)/(IS!M10/BS!M21)</f>
        <v>14.512523327767409</v>
      </c>
      <c r="N49" s="234">
        <f>IF(ISERROR((365/4)/(IS!N10/BS!N21)),"NM",(365/4)/(IS!N10/BS!N21))</f>
        <v>6.3944516785655487</v>
      </c>
      <c r="O49" s="234">
        <f>IF(ISERROR((365/4)/(IS!O10/BS!O21)),"NM",(365/4)/(IS!O10/BS!O21))</f>
        <v>24.345881726928731</v>
      </c>
      <c r="P49" s="234">
        <f>IF(ISERROR((365/4)/(IS!P10/BS!P21)),"NM",(365/4)/(IS!P10/BS!P21))</f>
        <v>9.17422976244608</v>
      </c>
      <c r="Q49" s="234">
        <f>IF(ISERROR((365/4)/(IS!Q10/BS!Q21)),"NM",(365/4)/(IS!Q10/BS!Q21))</f>
        <v>26.375847304562161</v>
      </c>
      <c r="R49" s="237">
        <f>(365)/(IS!R10/BS!R21)</f>
        <v>31.186019634568396</v>
      </c>
      <c r="S49" s="234">
        <f>IF(ISERROR((365/4)/(IS!S10/BS!S21)),"NM",(365/4)/(IS!S10/BS!S21))</f>
        <v>15.975270067335176</v>
      </c>
      <c r="T49" s="234">
        <f>IF(ISERROR((365/4)/(IS!T10/BS!T21)),"NM",(365/4)/(IS!T10/BS!T21))</f>
        <v>23.549896097476132</v>
      </c>
      <c r="U49" s="234">
        <f>IF(ISERROR((365/4)/(IS!U10/BS!U21)),"NM",(365/4)/(IS!U10/BS!U21))</f>
        <v>26.804374227547381</v>
      </c>
      <c r="V49" s="234">
        <f>IF(ISERROR((365/4)/(IS!V10/BS!V21)),"NM",(365/4)/(IS!V10/BS!V21))</f>
        <v>22.328622380039587</v>
      </c>
      <c r="W49" s="237">
        <f>(365)/(IS!W10/BS!W21)</f>
        <v>24.918072310281946</v>
      </c>
      <c r="X49" s="234">
        <f>IF(ISERROR((365/4)/(IS!X10/BS!X21)),"NM",(365/4)/(IS!X10/BS!X21))</f>
        <v>22.253137573924551</v>
      </c>
      <c r="Y49" s="234">
        <f>IF(ISERROR((365/4)/(IS!Y10/BS!Y21)),"NM",(365/4)/(IS!Y10/BS!Y21))</f>
        <v>13.454608484865419</v>
      </c>
      <c r="Z49" s="234">
        <f>IF(ISERROR((365/4)/(IS!Z10/BS!Z21)),"NM",(365/4)/(IS!Z10/BS!Z21))</f>
        <v>13.207033079674977</v>
      </c>
      <c r="AA49" s="234">
        <f>IF(ISERROR((365/4)/(IS!AA10/BS!AA21)),"NM",(365/4)/(IS!AA10/BS!AA21))</f>
        <v>9.0485596408523783</v>
      </c>
      <c r="AB49" s="237">
        <f>(365)/(IS!AB10/BS!AB21)</f>
        <v>9.2810822082935616</v>
      </c>
      <c r="AC49" s="234">
        <f>IF(ISERROR((365/4)/(IS!AC10/BS!AC21)),"NM",(365/4)/(IS!AC10/BS!AC21))</f>
        <v>14.930045871559635</v>
      </c>
      <c r="AD49" s="179">
        <v>10</v>
      </c>
      <c r="AE49" s="179">
        <f>AD49</f>
        <v>10</v>
      </c>
      <c r="AF49" s="179">
        <v>9</v>
      </c>
      <c r="AG49" s="237">
        <f>(365)/(IS!AG10/BS!AG21)</f>
        <v>9.1455143792351041</v>
      </c>
      <c r="AH49" s="179">
        <f>AF49</f>
        <v>9</v>
      </c>
      <c r="AI49" s="51">
        <f>AH49</f>
        <v>9</v>
      </c>
      <c r="AJ49" s="51">
        <f>AI49</f>
        <v>9</v>
      </c>
      <c r="AK49" s="51">
        <f>AJ49</f>
        <v>9</v>
      </c>
      <c r="AL49" s="267">
        <f>(365)/(IS!AL10/BS!AL21)</f>
        <v>8.7965012888854215</v>
      </c>
    </row>
    <row r="50" spans="1:40" ht="13.9" x14ac:dyDescent="0.4">
      <c r="A50" s="399"/>
      <c r="B50" s="118" t="s">
        <v>172</v>
      </c>
      <c r="C50" s="53"/>
      <c r="D50" s="285">
        <f>D47+D48-D49</f>
        <v>92.511838063515285</v>
      </c>
      <c r="E50" s="285">
        <f t="shared" ref="E50:G50" si="153">E47+E48-E49</f>
        <v>91.685196705740481</v>
      </c>
      <c r="F50" s="285">
        <f t="shared" si="153"/>
        <v>75.808504540591741</v>
      </c>
      <c r="G50" s="285">
        <f t="shared" si="153"/>
        <v>66.249772912232373</v>
      </c>
      <c r="H50" s="237">
        <f>H47+H48-H49</f>
        <v>72.290193559406163</v>
      </c>
      <c r="I50" s="285">
        <f t="shared" ref="I50" si="154">I47+I48-I49</f>
        <v>71.518548909250654</v>
      </c>
      <c r="J50" s="285">
        <f t="shared" ref="J50" si="155">J47+J48-J49</f>
        <v>90.29932643359092</v>
      </c>
      <c r="K50" s="285">
        <f t="shared" ref="K50" si="156">K47+K48-K49</f>
        <v>85.303455598229718</v>
      </c>
      <c r="L50" s="285">
        <f t="shared" ref="L50:N50" si="157">L47+L48-L49</f>
        <v>81.987284090170363</v>
      </c>
      <c r="M50" s="237">
        <f t="shared" si="157"/>
        <v>94.735995397754564</v>
      </c>
      <c r="N50" s="285">
        <f t="shared" si="157"/>
        <v>78.398044847898959</v>
      </c>
      <c r="O50" s="285">
        <f t="shared" ref="O50" si="158">O47+O48-O49</f>
        <v>74.045738710680297</v>
      </c>
      <c r="P50" s="285">
        <f t="shared" ref="P50" si="159">P47+P48-P49</f>
        <v>85.971785065930902</v>
      </c>
      <c r="Q50" s="285">
        <f t="shared" ref="Q50:R50" si="160">Q47+Q48-Q49</f>
        <v>64.090385697426925</v>
      </c>
      <c r="R50" s="237">
        <f t="shared" si="160"/>
        <v>70.895374305665172</v>
      </c>
      <c r="S50" s="285">
        <f t="shared" ref="S50" si="161">S47+S48-S49</f>
        <v>85.070705212843862</v>
      </c>
      <c r="T50" s="285">
        <f t="shared" ref="T50" si="162">T47+T48-T49</f>
        <v>97.804226575111642</v>
      </c>
      <c r="U50" s="285">
        <f t="shared" ref="U50" si="163">U47+U48-U49</f>
        <v>107.25239312001477</v>
      </c>
      <c r="V50" s="285">
        <f t="shared" ref="V50" si="164">V47+V48-V49</f>
        <v>105.69875126229918</v>
      </c>
      <c r="W50" s="237">
        <f t="shared" ref="W50" si="165">W47+W48-W49</f>
        <v>112.15804072338217</v>
      </c>
      <c r="X50" s="285">
        <f t="shared" ref="X50" si="166">X47+X48-X49</f>
        <v>95.957312251324041</v>
      </c>
      <c r="Y50" s="285">
        <f t="shared" ref="Y50" si="167">Y47+Y48-Y49</f>
        <v>104.53934522471555</v>
      </c>
      <c r="Z50" s="285">
        <f t="shared" ref="Z50" si="168">Z47+Z48-Z49</f>
        <v>99.631098089978209</v>
      </c>
      <c r="AA50" s="285">
        <f t="shared" ref="AA50" si="169">AA47+AA48-AA49</f>
        <v>97.166829535817655</v>
      </c>
      <c r="AB50" s="237">
        <f t="shared" ref="AB50" si="170">AB47+AB48-AB49</f>
        <v>109.76946831628533</v>
      </c>
      <c r="AC50" s="285">
        <f t="shared" ref="AC50" si="171">AC47+AC48-AC49</f>
        <v>79.069954128440372</v>
      </c>
      <c r="AD50" s="285">
        <f t="shared" ref="AD50" si="172">AD47+AD48-AD49</f>
        <v>88</v>
      </c>
      <c r="AE50" s="285">
        <f t="shared" ref="AE50" si="173">AE47+AE48-AE49</f>
        <v>79</v>
      </c>
      <c r="AF50" s="285">
        <f t="shared" ref="AF50" si="174">AF47+AF48-AF49</f>
        <v>71</v>
      </c>
      <c r="AG50" s="237">
        <f t="shared" ref="AG50" si="175">AG47+AG48-AG49</f>
        <v>72.30216332133071</v>
      </c>
      <c r="AH50" s="285">
        <f t="shared" ref="AH50" si="176">AH47+AH48-AH49</f>
        <v>75</v>
      </c>
      <c r="AI50" s="285">
        <f t="shared" ref="AI50" si="177">AI47+AI48-AI49</f>
        <v>77</v>
      </c>
      <c r="AJ50" s="285">
        <f t="shared" ref="AJ50" si="178">AJ47+AJ48-AJ49</f>
        <v>71</v>
      </c>
      <c r="AK50" s="285">
        <f t="shared" ref="AK50" si="179">AK47+AK48-AK49</f>
        <v>62</v>
      </c>
      <c r="AL50" s="267">
        <f t="shared" ref="AL50" si="180">AL47+AL48-AL49</f>
        <v>61.46246655382734</v>
      </c>
    </row>
    <row r="51" spans="1:40" ht="13.9" x14ac:dyDescent="0.4">
      <c r="A51" s="399"/>
      <c r="B51" s="29"/>
      <c r="C51" s="28"/>
      <c r="D51" s="29"/>
      <c r="E51" s="29"/>
      <c r="F51" s="29"/>
      <c r="G51" s="29"/>
      <c r="H51" s="30"/>
      <c r="I51" s="29"/>
      <c r="J51" s="29"/>
      <c r="K51" s="29"/>
      <c r="L51" s="29"/>
      <c r="M51" s="30"/>
      <c r="N51" s="29"/>
      <c r="O51" s="29"/>
      <c r="P51" s="29"/>
      <c r="Q51" s="29"/>
      <c r="R51" s="30"/>
      <c r="S51" s="29"/>
      <c r="T51" s="29"/>
      <c r="U51" s="29"/>
      <c r="V51" s="29"/>
      <c r="W51" s="30"/>
      <c r="X51" s="29"/>
      <c r="Y51" s="29"/>
      <c r="Z51" s="29"/>
      <c r="AA51" s="29"/>
      <c r="AB51" s="30"/>
      <c r="AC51" s="29"/>
      <c r="AD51" s="29"/>
      <c r="AE51" s="29"/>
      <c r="AF51" s="29"/>
      <c r="AG51" s="30"/>
      <c r="AH51" s="29"/>
      <c r="AI51" s="29"/>
      <c r="AJ51" s="29"/>
      <c r="AK51" s="29"/>
      <c r="AL51" s="30"/>
    </row>
    <row r="52" spans="1:40" ht="13.9" x14ac:dyDescent="0.4">
      <c r="A52" s="399" t="s">
        <v>36</v>
      </c>
      <c r="B52" s="164" t="s">
        <v>227</v>
      </c>
      <c r="C52" s="28"/>
      <c r="D52" s="29"/>
      <c r="E52" s="29"/>
      <c r="F52" s="29"/>
      <c r="G52" s="29"/>
      <c r="H52" s="30"/>
      <c r="I52" s="29"/>
      <c r="J52" s="29"/>
      <c r="K52" s="29"/>
      <c r="L52" s="29"/>
      <c r="M52" s="30"/>
      <c r="N52" s="29"/>
      <c r="O52" s="29"/>
      <c r="P52" s="29"/>
      <c r="Q52" s="29"/>
      <c r="R52" s="30"/>
      <c r="S52" s="29"/>
      <c r="T52" s="29"/>
      <c r="U52" s="29"/>
      <c r="V52" s="29"/>
      <c r="W52" s="30"/>
      <c r="X52" s="29"/>
      <c r="Y52" s="29"/>
      <c r="Z52" s="29"/>
      <c r="AA52" s="29"/>
      <c r="AB52" s="30"/>
      <c r="AC52" s="29"/>
      <c r="AD52" s="29"/>
      <c r="AE52" s="29"/>
      <c r="AF52" s="29"/>
      <c r="AG52" s="30"/>
      <c r="AH52" s="29"/>
      <c r="AI52" s="29"/>
      <c r="AJ52" s="29"/>
      <c r="AK52" s="29"/>
      <c r="AL52" s="31"/>
    </row>
    <row r="53" spans="1:40" x14ac:dyDescent="0.35">
      <c r="B53" s="118" t="s">
        <v>231</v>
      </c>
      <c r="D53" s="295">
        <f>-CF!D18</f>
        <v>0.95499999999999996</v>
      </c>
      <c r="E53" s="295">
        <f>-CF!E18</f>
        <v>0.64400000000000002</v>
      </c>
      <c r="F53" s="295">
        <f>-CF!F18</f>
        <v>0.95499999999999985</v>
      </c>
      <c r="G53" s="295">
        <f>-CF!G18</f>
        <v>2.4140000000000001</v>
      </c>
      <c r="H53" s="296">
        <f>-CF!H18</f>
        <v>4.968</v>
      </c>
      <c r="I53" s="295">
        <f>-CF!I18</f>
        <v>7.9169999999999998</v>
      </c>
      <c r="J53" s="295">
        <f>-CF!J18</f>
        <v>2.213000000000001</v>
      </c>
      <c r="K53" s="295">
        <f>-CF!K18</f>
        <v>1.9429999999999996</v>
      </c>
      <c r="L53" s="295">
        <f>-CF!L18</f>
        <v>7.5309999999999988</v>
      </c>
      <c r="M53" s="296">
        <f>-CF!M18</f>
        <v>19.603999999999999</v>
      </c>
      <c r="N53" s="295">
        <f>-CF!N18</f>
        <v>10.26</v>
      </c>
      <c r="O53" s="295">
        <f>-CF!O18</f>
        <v>8.6309999999999985</v>
      </c>
      <c r="P53" s="295">
        <f>-CF!P18</f>
        <v>13.136000000000001</v>
      </c>
      <c r="Q53" s="295">
        <f>-CF!Q18</f>
        <v>9.0029999999999983</v>
      </c>
      <c r="R53" s="296">
        <f>-CF!R18</f>
        <v>41.03</v>
      </c>
      <c r="S53" s="295">
        <f>-CF!S18</f>
        <v>15.885</v>
      </c>
      <c r="T53" s="295">
        <f>-CF!T18</f>
        <v>7.7760000000000016</v>
      </c>
      <c r="U53" s="295">
        <f>-CF!U18</f>
        <v>12.208999999999994</v>
      </c>
      <c r="V53" s="295">
        <f>-CF!V18</f>
        <v>11.827000000000004</v>
      </c>
      <c r="W53" s="296">
        <f>-CF!W18</f>
        <v>47.697000000000003</v>
      </c>
      <c r="X53" s="295">
        <f>-CF!X18</f>
        <v>11.598000000000001</v>
      </c>
      <c r="Y53" s="295">
        <f>-CF!Y18</f>
        <v>8.9679999999999982</v>
      </c>
      <c r="Z53" s="295">
        <f>-CF!Z18</f>
        <v>9.1010000000000044</v>
      </c>
      <c r="AA53" s="295">
        <f>-CF!AA18</f>
        <v>9.5319999999999947</v>
      </c>
      <c r="AB53" s="296">
        <f>-CF!AB18</f>
        <v>39.198999999999998</v>
      </c>
      <c r="AC53" s="295">
        <f>-CF!AC18</f>
        <v>20.315000000000001</v>
      </c>
      <c r="AD53" s="227">
        <f>IS!AD9*BS!AD54</f>
        <v>20.643269500669128</v>
      </c>
      <c r="AE53" s="227">
        <f>IS!AE9*BS!AE54</f>
        <v>19.50279566446212</v>
      </c>
      <c r="AF53" s="227">
        <f>IS!AF9*BS!AF54</f>
        <v>20.660387590176772</v>
      </c>
      <c r="AG53" s="233">
        <f>IS!AG9*BS!AG54</f>
        <v>81.121452755308027</v>
      </c>
      <c r="AH53" s="227">
        <f>IS!AH9*BS!AH54</f>
        <v>9.5167472400000026</v>
      </c>
      <c r="AI53" s="227">
        <f>IS!AI9*BS!AI54</f>
        <v>9.2729227610709763</v>
      </c>
      <c r="AJ53" s="227">
        <f>IS!AJ9*BS!AJ54</f>
        <v>8.7602846845697808</v>
      </c>
      <c r="AK53" s="227">
        <f>IS!AK9*BS!AK54</f>
        <v>9.1182439510169075</v>
      </c>
      <c r="AL53" s="297">
        <f>IS!AL9*BS!AL54</f>
        <v>36.668198636657671</v>
      </c>
    </row>
    <row r="54" spans="1:40" x14ac:dyDescent="0.35">
      <c r="B54" s="118" t="s">
        <v>232</v>
      </c>
      <c r="D54" s="284">
        <f>D53/IS!D9</f>
        <v>1.4291272596671855E-2</v>
      </c>
      <c r="E54" s="284">
        <f>E53/IS!E9</f>
        <v>8.6611525788447309E-3</v>
      </c>
      <c r="F54" s="284">
        <f>F53/IS!F9</f>
        <v>1.2257890615975046E-2</v>
      </c>
      <c r="G54" s="284">
        <f>G53/IS!G9</f>
        <v>2.899386252537264E-2</v>
      </c>
      <c r="H54" s="282">
        <f>H53/IS!H9</f>
        <v>1.6431451279490122E-2</v>
      </c>
      <c r="I54" s="284">
        <f>I53/IS!I9</f>
        <v>8.4212653703782489E-2</v>
      </c>
      <c r="J54" s="284">
        <f>J53/IS!J9</f>
        <v>2.559209917661209E-2</v>
      </c>
      <c r="K54" s="119">
        <f>K53/IS!K9</f>
        <v>1.9797642215950192E-2</v>
      </c>
      <c r="L54" s="119">
        <f>L53/IS!L9</f>
        <v>6.7021456477435529E-2</v>
      </c>
      <c r="M54" s="120">
        <f>M53/IS!M9</f>
        <v>5.0138876811408863E-2</v>
      </c>
      <c r="N54" s="119">
        <f>N53/IS!N9</f>
        <v>6.7359962183880878E-2</v>
      </c>
      <c r="O54" s="119">
        <f>O53/IS!O9</f>
        <v>6.0770563136327137E-2</v>
      </c>
      <c r="P54" s="119">
        <f>P53/IS!P9</f>
        <v>8.3078246350780441E-2</v>
      </c>
      <c r="Q54" s="119">
        <f>Q53/IS!Q9</f>
        <v>5.2032041056938746E-2</v>
      </c>
      <c r="R54" s="120">
        <f>R53/IS!R9</f>
        <v>6.5596991779192509E-2</v>
      </c>
      <c r="S54" s="119">
        <f>S53/IS!S9</f>
        <v>8.1825346540773586E-2</v>
      </c>
      <c r="T54" s="119">
        <f>T53/IS!T9</f>
        <v>3.9233097880928366E-2</v>
      </c>
      <c r="U54" s="119">
        <f>U53/IS!U9</f>
        <v>5.7962276333217787E-2</v>
      </c>
      <c r="V54" s="119">
        <f>V53/IS!V9</f>
        <v>5.4439084565389498E-2</v>
      </c>
      <c r="W54" s="120">
        <f>W53/IS!W9</f>
        <v>5.8151329761942497E-2</v>
      </c>
      <c r="X54" s="119">
        <f>X53/IS!X9</f>
        <v>4.7973990304273732E-2</v>
      </c>
      <c r="Y54" s="119">
        <f>Y53/IS!Y9</f>
        <v>3.4307049624336269E-2</v>
      </c>
      <c r="Z54" s="119">
        <f>Z53/IS!Z9</f>
        <v>3.3920225414265814E-2</v>
      </c>
      <c r="AA54" s="119">
        <f>AA53/IS!AA9</f>
        <v>3.0639173269474924E-2</v>
      </c>
      <c r="AB54" s="120">
        <f>AB53/IS!AB9</f>
        <v>3.6209172423794837E-2</v>
      </c>
      <c r="AC54" s="119">
        <f>AC53/IS!AC9</f>
        <v>5.5242684389284848E-2</v>
      </c>
      <c r="AD54" s="119">
        <f>AC54</f>
        <v>5.5242684389284848E-2</v>
      </c>
      <c r="AE54" s="119">
        <f>AD54</f>
        <v>5.5242684389284848E-2</v>
      </c>
      <c r="AF54" s="119">
        <f>AE54</f>
        <v>5.5242684389284848E-2</v>
      </c>
      <c r="AG54" s="120">
        <f>AF54</f>
        <v>5.5242684389284848E-2</v>
      </c>
      <c r="AH54" s="186">
        <v>0.02</v>
      </c>
      <c r="AI54" s="119">
        <f>AH54</f>
        <v>0.02</v>
      </c>
      <c r="AJ54" s="119">
        <f>AI54</f>
        <v>0.02</v>
      </c>
      <c r="AK54" s="119">
        <f>AJ54</f>
        <v>0.02</v>
      </c>
      <c r="AL54" s="287">
        <f>AK54</f>
        <v>0.02</v>
      </c>
    </row>
    <row r="55" spans="1:40" x14ac:dyDescent="0.35">
      <c r="B55" s="118" t="s">
        <v>192</v>
      </c>
      <c r="D55" s="295">
        <f>CF!D7</f>
        <v>1.92</v>
      </c>
      <c r="E55" s="295">
        <f>CF!E7</f>
        <v>2.032</v>
      </c>
      <c r="F55" s="295">
        <f>CF!F7</f>
        <v>1.9690000000000003</v>
      </c>
      <c r="G55" s="295">
        <f>CF!G7</f>
        <v>1.8090000000000002</v>
      </c>
      <c r="H55" s="296">
        <f>CF!H7</f>
        <v>7.73</v>
      </c>
      <c r="I55" s="295">
        <f>CF!I7</f>
        <v>1.8260000000000001</v>
      </c>
      <c r="J55" s="295">
        <f>CF!J7</f>
        <v>2.2099999999999995</v>
      </c>
      <c r="K55" s="295">
        <f>CF!K7</f>
        <v>2.1790000000000003</v>
      </c>
      <c r="L55" s="295">
        <f>CF!L7</f>
        <v>2.3979999999999997</v>
      </c>
      <c r="M55" s="296">
        <f>CF!M7</f>
        <v>8.6129999999999995</v>
      </c>
      <c r="N55" s="295">
        <f>CF!N7</f>
        <v>2.5489999999999999</v>
      </c>
      <c r="O55" s="295">
        <f>CF!O7</f>
        <v>2.7129999999999996</v>
      </c>
      <c r="P55" s="295">
        <f>CF!P7</f>
        <v>2.9970000000000012</v>
      </c>
      <c r="Q55" s="295">
        <f>CF!Q7</f>
        <v>2.9949999999999988</v>
      </c>
      <c r="R55" s="296">
        <f>CF!R7</f>
        <v>11.254</v>
      </c>
      <c r="S55" s="295">
        <f>CF!S7</f>
        <v>3.0019999999999998</v>
      </c>
      <c r="T55" s="295">
        <f>CF!T7</f>
        <v>4.6290000000000004</v>
      </c>
      <c r="U55" s="295">
        <f>CF!U7</f>
        <v>5.1410000000000009</v>
      </c>
      <c r="V55" s="295">
        <f>CF!V7</f>
        <v>3.9299999999999997</v>
      </c>
      <c r="W55" s="296">
        <f>CF!W7</f>
        <v>16.702000000000002</v>
      </c>
      <c r="X55" s="295">
        <f>CF!X7</f>
        <v>5.077</v>
      </c>
      <c r="Y55" s="295">
        <f>CF!Y7</f>
        <v>5.1240000000000006</v>
      </c>
      <c r="Z55" s="295">
        <f>CF!Z7</f>
        <v>6.9849999999999994</v>
      </c>
      <c r="AA55" s="295">
        <f>CF!AA7</f>
        <v>6.9110000000000014</v>
      </c>
      <c r="AB55" s="296">
        <f>CF!AB7</f>
        <v>24.097000000000001</v>
      </c>
      <c r="AC55" s="295">
        <f>CF!AC7</f>
        <v>7.0629999999999997</v>
      </c>
      <c r="AD55" s="227">
        <f>IS!AD9*BS!AD56</f>
        <v>7.4736663248295017</v>
      </c>
      <c r="AE55" s="227">
        <f>IS!AE9*BS!AE56</f>
        <v>7.0607704459216984</v>
      </c>
      <c r="AF55" s="227">
        <f>IS!AF9*BS!AF56</f>
        <v>7.4798637389113427</v>
      </c>
      <c r="AG55" s="233">
        <f>IS!AG9*BS!AG56</f>
        <v>29.369120509662544</v>
      </c>
      <c r="AH55" s="227">
        <f>IS!AH9*BS!AH56</f>
        <v>9.5167472400000026</v>
      </c>
      <c r="AI55" s="227">
        <f>IS!AI9*BS!AI56</f>
        <v>9.2729227610709763</v>
      </c>
      <c r="AJ55" s="227">
        <f>IS!AJ9*BS!AJ56</f>
        <v>8.7602846845697808</v>
      </c>
      <c r="AK55" s="227">
        <f>IS!AK9*BS!AK56</f>
        <v>9.1182439510169075</v>
      </c>
      <c r="AL55" s="297">
        <f>IS!AL9*BS!AL56</f>
        <v>36.668198636657671</v>
      </c>
    </row>
    <row r="56" spans="1:40" s="51" customFormat="1" ht="11.65" x14ac:dyDescent="0.35">
      <c r="A56" s="393"/>
      <c r="B56" s="118" t="s">
        <v>232</v>
      </c>
      <c r="C56" s="53"/>
      <c r="D56" s="284">
        <f>D55/IS!D9</f>
        <v>2.8732192026816712E-2</v>
      </c>
      <c r="E56" s="284">
        <f>E55/IS!E9</f>
        <v>2.7328357205298904E-2</v>
      </c>
      <c r="F56" s="284">
        <f>F55/IS!F9</f>
        <v>2.5273074997753792E-2</v>
      </c>
      <c r="G56" s="284">
        <f>G55/IS!G9</f>
        <v>2.1727380823694742E-2</v>
      </c>
      <c r="H56" s="282">
        <f>H55/IS!H9</f>
        <v>2.5566650239625333E-2</v>
      </c>
      <c r="I56" s="284">
        <f>I55/IS!I9</f>
        <v>1.9423052376292389E-2</v>
      </c>
      <c r="J56" s="284">
        <f>J55/IS!J9</f>
        <v>2.5557405865482462E-2</v>
      </c>
      <c r="K56" s="284">
        <f>K55/IS!K9</f>
        <v>2.2202296648767616E-2</v>
      </c>
      <c r="L56" s="119">
        <f>L55/IS!L9</f>
        <v>2.1340785105947471E-2</v>
      </c>
      <c r="M56" s="120">
        <f>M55/IS!M9</f>
        <v>2.2028471025130818E-2</v>
      </c>
      <c r="N56" s="119">
        <f>N55/IS!N9</f>
        <v>1.6734945770634731E-2</v>
      </c>
      <c r="O56" s="119">
        <f>O55/IS!O9</f>
        <v>1.9102136228577864E-2</v>
      </c>
      <c r="P56" s="119">
        <f>P55/IS!P9</f>
        <v>1.8954438513496426E-2</v>
      </c>
      <c r="Q56" s="119">
        <f>Q55/IS!Q9</f>
        <v>1.7309337217097803E-2</v>
      </c>
      <c r="R56" s="120">
        <f>R55/IS!R9</f>
        <v>1.7992409102681753E-2</v>
      </c>
      <c r="S56" s="119">
        <f>S55/IS!S9</f>
        <v>1.5463625452653592E-2</v>
      </c>
      <c r="T56" s="119">
        <f>T55/IS!T9</f>
        <v>2.335519677093845E-2</v>
      </c>
      <c r="U56" s="119">
        <f>U55/IS!U9</f>
        <v>2.4406918062828471E-2</v>
      </c>
      <c r="V56" s="119">
        <f>V55/IS!V9</f>
        <v>1.8089591810432119E-2</v>
      </c>
      <c r="W56" s="120">
        <f>W55/IS!W9</f>
        <v>2.036277983277698E-2</v>
      </c>
      <c r="X56" s="119">
        <f>X55/IS!X9</f>
        <v>2.1000512913847018E-2</v>
      </c>
      <c r="Y56" s="119">
        <f>Y55/IS!Y9</f>
        <v>1.9601842358953958E-2</v>
      </c>
      <c r="Z56" s="119">
        <f>Z55/IS!Z9</f>
        <v>2.6033707781413753E-2</v>
      </c>
      <c r="AA56" s="119">
        <f>AA55/IS!AA9</f>
        <v>2.2214364925025321E-2</v>
      </c>
      <c r="AB56" s="120">
        <f>AB55/IS!AB9</f>
        <v>2.2259048136334711E-2</v>
      </c>
      <c r="AC56" s="119">
        <f>AC55/IS!AC9</f>
        <v>1.9206452367291106E-2</v>
      </c>
      <c r="AD56" s="186">
        <v>0.02</v>
      </c>
      <c r="AE56" s="119">
        <f t="shared" ref="AE56:AL56" si="181">AD56</f>
        <v>0.02</v>
      </c>
      <c r="AF56" s="119">
        <f t="shared" si="181"/>
        <v>0.02</v>
      </c>
      <c r="AG56" s="120">
        <f t="shared" si="181"/>
        <v>0.02</v>
      </c>
      <c r="AH56" s="119">
        <f t="shared" si="181"/>
        <v>0.02</v>
      </c>
      <c r="AI56" s="119">
        <f t="shared" si="181"/>
        <v>0.02</v>
      </c>
      <c r="AJ56" s="119">
        <f t="shared" si="181"/>
        <v>0.02</v>
      </c>
      <c r="AK56" s="119">
        <f t="shared" si="181"/>
        <v>0.02</v>
      </c>
      <c r="AL56" s="182">
        <f t="shared" si="181"/>
        <v>0.02</v>
      </c>
    </row>
    <row r="57" spans="1:40" x14ac:dyDescent="0.35">
      <c r="B57" s="122" t="s">
        <v>233</v>
      </c>
      <c r="C57" s="34"/>
      <c r="D57" s="290">
        <v>0</v>
      </c>
      <c r="E57" s="288">
        <f t="shared" ref="E57:R57" si="182">D57</f>
        <v>0</v>
      </c>
      <c r="F57" s="288">
        <f t="shared" si="182"/>
        <v>0</v>
      </c>
      <c r="G57" s="288">
        <f t="shared" si="182"/>
        <v>0</v>
      </c>
      <c r="H57" s="289">
        <f t="shared" si="182"/>
        <v>0</v>
      </c>
      <c r="I57" s="288">
        <f t="shared" si="182"/>
        <v>0</v>
      </c>
      <c r="J57" s="288">
        <f t="shared" si="182"/>
        <v>0</v>
      </c>
      <c r="K57" s="288">
        <f t="shared" si="182"/>
        <v>0</v>
      </c>
      <c r="L57" s="288">
        <f t="shared" si="182"/>
        <v>0</v>
      </c>
      <c r="M57" s="289">
        <f t="shared" si="182"/>
        <v>0</v>
      </c>
      <c r="N57" s="288">
        <f t="shared" si="182"/>
        <v>0</v>
      </c>
      <c r="O57" s="288">
        <f t="shared" si="182"/>
        <v>0</v>
      </c>
      <c r="P57" s="288">
        <f t="shared" si="182"/>
        <v>0</v>
      </c>
      <c r="Q57" s="288">
        <f t="shared" si="182"/>
        <v>0</v>
      </c>
      <c r="R57" s="289">
        <f t="shared" si="182"/>
        <v>0</v>
      </c>
      <c r="S57" s="288">
        <v>0</v>
      </c>
      <c r="T57" s="288">
        <f t="shared" ref="T57:AB57" si="183">S57</f>
        <v>0</v>
      </c>
      <c r="U57" s="288">
        <f t="shared" si="183"/>
        <v>0</v>
      </c>
      <c r="V57" s="288">
        <f t="shared" si="183"/>
        <v>0</v>
      </c>
      <c r="W57" s="289">
        <f t="shared" si="183"/>
        <v>0</v>
      </c>
      <c r="X57" s="288">
        <f t="shared" si="183"/>
        <v>0</v>
      </c>
      <c r="Y57" s="288">
        <f t="shared" si="183"/>
        <v>0</v>
      </c>
      <c r="Z57" s="288">
        <f t="shared" si="183"/>
        <v>0</v>
      </c>
      <c r="AA57" s="288">
        <f t="shared" si="183"/>
        <v>0</v>
      </c>
      <c r="AB57" s="289">
        <f t="shared" si="183"/>
        <v>0</v>
      </c>
      <c r="AC57" s="59">
        <v>0</v>
      </c>
      <c r="AD57" s="59">
        <v>0</v>
      </c>
      <c r="AE57" s="59">
        <v>0</v>
      </c>
      <c r="AF57" s="59">
        <v>0</v>
      </c>
      <c r="AG57" s="127">
        <v>0</v>
      </c>
      <c r="AH57" s="59">
        <v>0</v>
      </c>
      <c r="AI57" s="59">
        <v>0</v>
      </c>
      <c r="AJ57" s="59">
        <v>0</v>
      </c>
      <c r="AK57" s="59">
        <v>0</v>
      </c>
      <c r="AL57" s="128">
        <v>0</v>
      </c>
      <c r="AM57" s="51"/>
      <c r="AN57" s="51"/>
    </row>
    <row r="58" spans="1:40" x14ac:dyDescent="0.35">
      <c r="B58" s="51"/>
      <c r="C58" s="51"/>
      <c r="D58" s="115"/>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row>
    <row r="59" spans="1:40" x14ac:dyDescent="0.35">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row>
    <row r="60" spans="1:40" x14ac:dyDescent="0.35">
      <c r="A60" s="396" t="s">
        <v>36</v>
      </c>
      <c r="B60" s="51" t="s">
        <v>79</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row>
    <row r="61" spans="1:40" x14ac:dyDescent="0.35">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row>
  </sheetData>
  <phoneticPr fontId="1" type="noConversion"/>
  <pageMargins left="0.39370078740157483" right="0" top="0.19685039370078741" bottom="0" header="0.31496062992125984" footer="0"/>
  <pageSetup paperSize="8"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FE14C-914D-4C4F-8C6A-C5ADD0CDB93A}">
  <sheetPr>
    <tabColor theme="4"/>
  </sheetPr>
  <dimension ref="A1:AN46"/>
  <sheetViews>
    <sheetView showGridLines="0" view="pageBreakPreview" zoomScaleNormal="100" zoomScaleSheetLayoutView="100" workbookViewId="0">
      <pane xSplit="3" ySplit="4" topLeftCell="H5" activePane="bottomRight" state="frozen"/>
      <selection activeCell="I22" sqref="I22"/>
      <selection pane="topRight" activeCell="I22" sqref="I22"/>
      <selection pane="bottomLeft" activeCell="I22" sqref="I22"/>
      <selection pane="bottomRight" activeCell="B50" sqref="B50"/>
    </sheetView>
  </sheetViews>
  <sheetFormatPr defaultRowHeight="13.5" outlineLevelCol="1" x14ac:dyDescent="0.35"/>
  <cols>
    <col min="1" max="1" width="2.53125" style="51" customWidth="1"/>
    <col min="2" max="2" width="27.46484375" style="14" customWidth="1"/>
    <col min="3" max="3" width="8.86328125" style="15" customWidth="1"/>
    <col min="4" max="7" width="9.06640625" style="14" hidden="1" customWidth="1" outlineLevel="1"/>
    <col min="8" max="8" width="9.06640625" style="14" collapsed="1"/>
    <col min="9" max="12" width="9.06640625" style="14" hidden="1" customWidth="1" outlineLevel="1"/>
    <col min="13" max="13" width="9.1328125" style="14" customWidth="1" collapsed="1"/>
    <col min="14" max="17" width="9.06640625" style="14" hidden="1" customWidth="1" outlineLevel="1"/>
    <col min="18" max="18" width="9.1328125" style="14" bestFit="1" customWidth="1" collapsed="1"/>
    <col min="19" max="22" width="9.06640625" style="14" hidden="1" customWidth="1" outlineLevel="1"/>
    <col min="23" max="23" width="9.1328125" style="14" bestFit="1" customWidth="1" collapsed="1"/>
    <col min="24" max="27" width="9.06640625" style="14" hidden="1" customWidth="1" outlineLevel="1"/>
    <col min="28" max="28" width="9.1328125" style="14" bestFit="1" customWidth="1" collapsed="1"/>
    <col min="29" max="32" width="9.06640625" style="14" customWidth="1" outlineLevel="1"/>
    <col min="33" max="33" width="9.33203125" style="14" bestFit="1" customWidth="1"/>
    <col min="34" max="37" width="9.06640625" style="14" customWidth="1" outlineLevel="1"/>
    <col min="38" max="38" width="9.06640625" style="14"/>
    <col min="39" max="39" width="2.53125" style="14" customWidth="1"/>
    <col min="40" max="16384" width="9.06640625" style="14"/>
  </cols>
  <sheetData>
    <row r="1" spans="1:40" s="6" customFormat="1" ht="17.649999999999999" x14ac:dyDescent="0.5">
      <c r="A1" s="400"/>
      <c r="B1" s="2" t="str">
        <f>Name</f>
        <v>Natera</v>
      </c>
      <c r="C1" s="11"/>
      <c r="D1" s="3"/>
      <c r="E1" s="3"/>
      <c r="F1" s="3"/>
      <c r="G1" s="3"/>
      <c r="H1" s="4"/>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row>
    <row r="2" spans="1:40" s="6" customFormat="1" ht="17.649999999999999" x14ac:dyDescent="0.5">
      <c r="A2" s="401"/>
      <c r="B2" s="8" t="s">
        <v>60</v>
      </c>
      <c r="C2" s="12"/>
    </row>
    <row r="3" spans="1:40" s="6" customFormat="1" ht="12.75" customHeight="1" x14ac:dyDescent="0.4">
      <c r="A3" s="51"/>
      <c r="B3" s="9"/>
      <c r="C3" s="13"/>
      <c r="D3" s="10" t="s">
        <v>2</v>
      </c>
      <c r="E3" s="10" t="s">
        <v>3</v>
      </c>
      <c r="F3" s="10" t="s">
        <v>4</v>
      </c>
      <c r="G3" s="10" t="s">
        <v>5</v>
      </c>
      <c r="H3" s="57">
        <v>2019</v>
      </c>
      <c r="I3" s="56" t="s">
        <v>7</v>
      </c>
      <c r="J3" s="56" t="s">
        <v>8</v>
      </c>
      <c r="K3" s="56" t="s">
        <v>9</v>
      </c>
      <c r="L3" s="56" t="s">
        <v>10</v>
      </c>
      <c r="M3" s="57">
        <v>2020</v>
      </c>
      <c r="N3" s="56" t="s">
        <v>23</v>
      </c>
      <c r="O3" s="56" t="s">
        <v>24</v>
      </c>
      <c r="P3" s="56" t="s">
        <v>25</v>
      </c>
      <c r="Q3" s="56" t="s">
        <v>26</v>
      </c>
      <c r="R3" s="57">
        <v>2021</v>
      </c>
      <c r="S3" s="56" t="s">
        <v>27</v>
      </c>
      <c r="T3" s="56" t="s">
        <v>28</v>
      </c>
      <c r="U3" s="56" t="s">
        <v>29</v>
      </c>
      <c r="V3" s="56" t="s">
        <v>30</v>
      </c>
      <c r="W3" s="57">
        <v>2022</v>
      </c>
      <c r="X3" s="56" t="s">
        <v>15</v>
      </c>
      <c r="Y3" s="56" t="s">
        <v>16</v>
      </c>
      <c r="Z3" s="56" t="s">
        <v>17</v>
      </c>
      <c r="AA3" s="56" t="s">
        <v>18</v>
      </c>
      <c r="AB3" s="57">
        <v>2023</v>
      </c>
      <c r="AC3" s="56" t="s">
        <v>11</v>
      </c>
      <c r="AD3" s="56" t="s">
        <v>12</v>
      </c>
      <c r="AE3" s="56" t="s">
        <v>13</v>
      </c>
      <c r="AF3" s="56" t="s">
        <v>14</v>
      </c>
      <c r="AG3" s="57">
        <v>2024</v>
      </c>
      <c r="AH3" s="56" t="s">
        <v>19</v>
      </c>
      <c r="AI3" s="56" t="s">
        <v>20</v>
      </c>
      <c r="AJ3" s="56" t="s">
        <v>21</v>
      </c>
      <c r="AK3" s="56" t="s">
        <v>22</v>
      </c>
      <c r="AL3" s="57">
        <v>2025</v>
      </c>
    </row>
    <row r="4" spans="1:40" s="16" customFormat="1" ht="12.75" customHeight="1" x14ac:dyDescent="0.35">
      <c r="A4" s="59"/>
      <c r="B4" s="60" t="str">
        <f>Subheader</f>
        <v>$ in millions, except test volumes, TAM, and per share amounts</v>
      </c>
      <c r="C4" s="17"/>
      <c r="D4" s="18" t="s">
        <v>1</v>
      </c>
      <c r="E4" s="18" t="s">
        <v>1</v>
      </c>
      <c r="F4" s="18" t="s">
        <v>1</v>
      </c>
      <c r="G4" s="18" t="s">
        <v>1</v>
      </c>
      <c r="H4" s="63" t="s">
        <v>1</v>
      </c>
      <c r="I4" s="62" t="s">
        <v>1</v>
      </c>
      <c r="J4" s="62" t="s">
        <v>1</v>
      </c>
      <c r="K4" s="62" t="s">
        <v>1</v>
      </c>
      <c r="L4" s="62" t="s">
        <v>1</v>
      </c>
      <c r="M4" s="63" t="s">
        <v>1</v>
      </c>
      <c r="N4" s="62" t="s">
        <v>1</v>
      </c>
      <c r="O4" s="62" t="s">
        <v>1</v>
      </c>
      <c r="P4" s="62" t="s">
        <v>1</v>
      </c>
      <c r="Q4" s="62" t="s">
        <v>1</v>
      </c>
      <c r="R4" s="63" t="s">
        <v>1</v>
      </c>
      <c r="S4" s="62" t="s">
        <v>1</v>
      </c>
      <c r="T4" s="62" t="s">
        <v>1</v>
      </c>
      <c r="U4" s="62" t="s">
        <v>1</v>
      </c>
      <c r="V4" s="62" t="s">
        <v>1</v>
      </c>
      <c r="W4" s="63" t="s">
        <v>1</v>
      </c>
      <c r="X4" s="62" t="s">
        <v>1</v>
      </c>
      <c r="Y4" s="62" t="s">
        <v>1</v>
      </c>
      <c r="Z4" s="62" t="s">
        <v>1</v>
      </c>
      <c r="AA4" s="62" t="s">
        <v>1</v>
      </c>
      <c r="AB4" s="63" t="s">
        <v>1</v>
      </c>
      <c r="AC4" s="62" t="s">
        <v>1</v>
      </c>
      <c r="AD4" s="62" t="s">
        <v>6</v>
      </c>
      <c r="AE4" s="62" t="s">
        <v>6</v>
      </c>
      <c r="AF4" s="62" t="s">
        <v>6</v>
      </c>
      <c r="AG4" s="63" t="s">
        <v>6</v>
      </c>
      <c r="AH4" s="62" t="s">
        <v>6</v>
      </c>
      <c r="AI4" s="62" t="s">
        <v>6</v>
      </c>
      <c r="AJ4" s="62" t="s">
        <v>6</v>
      </c>
      <c r="AK4" s="62" t="s">
        <v>6</v>
      </c>
      <c r="AL4" s="63" t="s">
        <v>6</v>
      </c>
    </row>
    <row r="5" spans="1:40" ht="14.65" customHeight="1" x14ac:dyDescent="0.4">
      <c r="B5" s="158" t="s">
        <v>189</v>
      </c>
      <c r="C5" s="53"/>
      <c r="D5" s="73"/>
      <c r="E5" s="73"/>
      <c r="F5" s="73"/>
      <c r="G5" s="73"/>
      <c r="H5" s="74"/>
      <c r="I5" s="73"/>
      <c r="J5" s="73"/>
      <c r="K5" s="73"/>
      <c r="L5" s="73"/>
      <c r="M5" s="74"/>
      <c r="N5" s="73"/>
      <c r="O5" s="73"/>
      <c r="P5" s="73"/>
      <c r="Q5" s="73"/>
      <c r="R5" s="24"/>
      <c r="S5" s="23"/>
      <c r="T5" s="23"/>
      <c r="U5" s="23"/>
      <c r="V5" s="23"/>
      <c r="W5" s="24"/>
      <c r="X5" s="23"/>
      <c r="Y5" s="23"/>
      <c r="Z5" s="23"/>
      <c r="AA5" s="23"/>
      <c r="AB5" s="24"/>
      <c r="AC5" s="23"/>
      <c r="AD5" s="23"/>
      <c r="AE5" s="23"/>
      <c r="AF5" s="23"/>
      <c r="AG5" s="24"/>
      <c r="AH5" s="23"/>
      <c r="AI5" s="23"/>
      <c r="AJ5" s="23"/>
      <c r="AK5" s="23"/>
      <c r="AL5" s="24"/>
    </row>
    <row r="6" spans="1:40" x14ac:dyDescent="0.35">
      <c r="B6" s="64" t="s">
        <v>190</v>
      </c>
      <c r="C6" s="53"/>
      <c r="D6" s="293">
        <f>IS!D24</f>
        <v>-34.090999999999994</v>
      </c>
      <c r="E6" s="293">
        <f>IS!E24</f>
        <v>-32.415999999999997</v>
      </c>
      <c r="F6" s="293">
        <f>IS!F24</f>
        <v>-23.124999999999996</v>
      </c>
      <c r="G6" s="293">
        <f>IS!G24</f>
        <v>-35.164000000000044</v>
      </c>
      <c r="H6" s="294">
        <f>IS!H24</f>
        <v>-124.79600000000003</v>
      </c>
      <c r="I6" s="293">
        <f>IS!I24</f>
        <v>-35.372</v>
      </c>
      <c r="J6" s="293">
        <f>IS!J24</f>
        <v>-59.637</v>
      </c>
      <c r="K6" s="293">
        <f>IS!K24</f>
        <v>-58.322999999999986</v>
      </c>
      <c r="L6" s="293">
        <f>IS!L24</f>
        <v>-76.421999999999997</v>
      </c>
      <c r="M6" s="294">
        <f>IS!M24</f>
        <v>-229.75400000000002</v>
      </c>
      <c r="N6" s="293">
        <f>IS!N24</f>
        <v>-63.852999999999994</v>
      </c>
      <c r="O6" s="293">
        <f>IS!O24</f>
        <v>-116.02600000000002</v>
      </c>
      <c r="P6" s="293">
        <f>IS!P24</f>
        <v>-151.273</v>
      </c>
      <c r="Q6" s="293">
        <f>IS!Q24</f>
        <v>-140.56399999999999</v>
      </c>
      <c r="R6" s="294">
        <f>IS!R24</f>
        <v>-471.71600000000001</v>
      </c>
      <c r="S6" s="293">
        <f>IS!S24</f>
        <v>-138.595</v>
      </c>
      <c r="T6" s="293">
        <f>IS!T24</f>
        <v>-145.15100000000001</v>
      </c>
      <c r="U6" s="293">
        <f>IS!U24</f>
        <v>-121.48</v>
      </c>
      <c r="V6" s="293">
        <f>IS!V24</f>
        <v>-142.57299999999998</v>
      </c>
      <c r="W6" s="294">
        <f>IS!W24</f>
        <v>-547.79899999999986</v>
      </c>
      <c r="X6" s="293">
        <f>IS!X24</f>
        <v>-136.93699999999998</v>
      </c>
      <c r="Y6" s="293">
        <f>IS!Y24</f>
        <v>-110.80300000000003</v>
      </c>
      <c r="Z6" s="293">
        <f>IS!Z24</f>
        <v>-109.02999999999992</v>
      </c>
      <c r="AA6" s="293">
        <f>IS!AA24</f>
        <v>-78.024000000000058</v>
      </c>
      <c r="AB6" s="294">
        <f>IS!AB24</f>
        <v>-434.79399999999998</v>
      </c>
      <c r="AC6" s="293">
        <f>IS!AC24</f>
        <v>-67.598999999999933</v>
      </c>
      <c r="AD6" s="293">
        <f>IS!AD24</f>
        <v>-97.28882807678707</v>
      </c>
      <c r="AE6" s="293">
        <f>IS!AE24</f>
        <v>-78.130099047576152</v>
      </c>
      <c r="AF6" s="293">
        <f>IS!AF24</f>
        <v>-53.848929839839506</v>
      </c>
      <c r="AG6" s="294">
        <f>IS!AG24</f>
        <v>-296.86685696420267</v>
      </c>
      <c r="AH6" s="293">
        <f>IS!AH24</f>
        <v>-47.687160969999987</v>
      </c>
      <c r="AI6" s="293">
        <f>IS!AI24</f>
        <v>-32.776159341326355</v>
      </c>
      <c r="AJ6" s="293">
        <f>IS!AJ24</f>
        <v>-24.083594251953318</v>
      </c>
      <c r="AK6" s="293">
        <f>IS!AK24</f>
        <v>-4.0966141519269765</v>
      </c>
      <c r="AL6" s="294">
        <f>IS!AL24</f>
        <v>-108.64352871520663</v>
      </c>
    </row>
    <row r="7" spans="1:40" s="26" customFormat="1" ht="13.9" x14ac:dyDescent="0.4">
      <c r="A7" s="71"/>
      <c r="B7" s="65" t="s">
        <v>191</v>
      </c>
      <c r="C7" s="66"/>
      <c r="D7" s="97">
        <v>1.92</v>
      </c>
      <c r="E7" s="97">
        <f>3.952-D7</f>
        <v>2.032</v>
      </c>
      <c r="F7" s="97">
        <f>5.921-SUM(D7:E7)</f>
        <v>1.9690000000000003</v>
      </c>
      <c r="G7" s="97">
        <f>7.73-SUM(D7:F7)</f>
        <v>1.8090000000000002</v>
      </c>
      <c r="H7" s="94">
        <f>SUM(D7:G7)</f>
        <v>7.73</v>
      </c>
      <c r="I7" s="97">
        <v>1.8260000000000001</v>
      </c>
      <c r="J7" s="97">
        <f>4.036-I7</f>
        <v>2.2099999999999995</v>
      </c>
      <c r="K7" s="97">
        <f>6.215-SUM(I7:J7)</f>
        <v>2.1790000000000003</v>
      </c>
      <c r="L7" s="97">
        <f>8.613-SUM(I7:K7)</f>
        <v>2.3979999999999997</v>
      </c>
      <c r="M7" s="94">
        <f>SUM(I7:L7)</f>
        <v>8.6129999999999995</v>
      </c>
      <c r="N7" s="97">
        <v>2.5489999999999999</v>
      </c>
      <c r="O7" s="97">
        <f>5.262-N7</f>
        <v>2.7129999999999996</v>
      </c>
      <c r="P7" s="97">
        <f>8.259-O7-N7</f>
        <v>2.9970000000000012</v>
      </c>
      <c r="Q7" s="97">
        <f>11.254-P7-O7-N7</f>
        <v>2.9949999999999988</v>
      </c>
      <c r="R7" s="94">
        <f>SUM(N7:Q7)</f>
        <v>11.254</v>
      </c>
      <c r="S7" s="97">
        <v>3.0019999999999998</v>
      </c>
      <c r="T7" s="97">
        <v>4.6290000000000004</v>
      </c>
      <c r="U7" s="97">
        <v>5.1410000000000009</v>
      </c>
      <c r="V7" s="97">
        <v>3.9299999999999997</v>
      </c>
      <c r="W7" s="94">
        <f>SUM(S7:V7)</f>
        <v>16.702000000000002</v>
      </c>
      <c r="X7" s="97">
        <v>5.077</v>
      </c>
      <c r="Y7" s="97">
        <v>5.1240000000000006</v>
      </c>
      <c r="Z7" s="97">
        <v>6.9849999999999994</v>
      </c>
      <c r="AA7" s="97">
        <v>6.9110000000000014</v>
      </c>
      <c r="AB7" s="94">
        <f>SUM(X7:AA7)</f>
        <v>24.097000000000001</v>
      </c>
      <c r="AC7" s="97">
        <v>7.0629999999999997</v>
      </c>
      <c r="AD7" s="137">
        <f>BS!AD55</f>
        <v>7.4736663248295017</v>
      </c>
      <c r="AE7" s="137">
        <f>BS!AE55</f>
        <v>7.0607704459216984</v>
      </c>
      <c r="AF7" s="137">
        <f>BS!AF55</f>
        <v>7.4798637389113427</v>
      </c>
      <c r="AG7" s="136">
        <f>BS!AG55</f>
        <v>29.369120509662544</v>
      </c>
      <c r="AH7" s="137">
        <f>BS!AH55</f>
        <v>9.5167472400000026</v>
      </c>
      <c r="AI7" s="137">
        <f>BS!AI55</f>
        <v>9.2729227610709763</v>
      </c>
      <c r="AJ7" s="137">
        <f>BS!AJ55</f>
        <v>8.7602846845697808</v>
      </c>
      <c r="AK7" s="137">
        <f>BS!AK55</f>
        <v>9.1182439510169075</v>
      </c>
      <c r="AL7" s="136">
        <f>BS!AL55</f>
        <v>36.668198636657671</v>
      </c>
    </row>
    <row r="8" spans="1:40" x14ac:dyDescent="0.35">
      <c r="B8" s="51" t="s">
        <v>193</v>
      </c>
      <c r="C8" s="53"/>
      <c r="D8" s="97">
        <v>4.0510000000000002</v>
      </c>
      <c r="E8" s="97">
        <v>5.8040000000000003</v>
      </c>
      <c r="F8" s="97">
        <v>10.247</v>
      </c>
      <c r="G8" s="97">
        <v>8.5219999999999985</v>
      </c>
      <c r="H8" s="94">
        <f>SUM(D8:G8)</f>
        <v>28.623999999999999</v>
      </c>
      <c r="I8" s="97">
        <v>7.4169999999999998</v>
      </c>
      <c r="J8" s="97">
        <v>11.956999999999999</v>
      </c>
      <c r="K8" s="97">
        <v>15.032</v>
      </c>
      <c r="L8" s="97">
        <v>15.765000000000001</v>
      </c>
      <c r="M8" s="94">
        <f>SUM(I8:L8)</f>
        <v>50.170999999999999</v>
      </c>
      <c r="N8" s="97">
        <v>23.231999999999999</v>
      </c>
      <c r="O8" s="97">
        <v>35.103000000000002</v>
      </c>
      <c r="P8" s="97">
        <v>26.461999999999996</v>
      </c>
      <c r="Q8" s="97">
        <v>30.422000000000004</v>
      </c>
      <c r="R8" s="94">
        <f>SUM(N8:Q8)</f>
        <v>115.21899999999999</v>
      </c>
      <c r="S8" s="97">
        <v>35.087000000000003</v>
      </c>
      <c r="T8" s="97">
        <v>40.972999999999999</v>
      </c>
      <c r="U8" s="97">
        <v>40.337999999999994</v>
      </c>
      <c r="V8" s="97">
        <v>35.98599999999999</v>
      </c>
      <c r="W8" s="94">
        <f>SUM(S8:V8)</f>
        <v>152.38399999999999</v>
      </c>
      <c r="X8" s="97">
        <v>40.695</v>
      </c>
      <c r="Y8" s="97">
        <v>44.470000000000006</v>
      </c>
      <c r="Z8" s="97">
        <v>57.730999999999987</v>
      </c>
      <c r="AA8" s="97">
        <v>48.911999999999999</v>
      </c>
      <c r="AB8" s="94">
        <f>SUM(X8:AA8)</f>
        <v>191.80799999999999</v>
      </c>
      <c r="AC8" s="97">
        <v>64.447000000000003</v>
      </c>
      <c r="AD8" s="93">
        <f>AC8</f>
        <v>64.447000000000003</v>
      </c>
      <c r="AE8" s="93">
        <f>AD8</f>
        <v>64.447000000000003</v>
      </c>
      <c r="AF8" s="93">
        <f>AE8</f>
        <v>64.447000000000003</v>
      </c>
      <c r="AG8" s="94">
        <f>SUM(AC8:AF8)</f>
        <v>257.78800000000001</v>
      </c>
      <c r="AH8" s="93">
        <f>AF8</f>
        <v>64.447000000000003</v>
      </c>
      <c r="AI8" s="93">
        <f t="shared" ref="AI8:AK9" si="0">AH8</f>
        <v>64.447000000000003</v>
      </c>
      <c r="AJ8" s="93">
        <f t="shared" si="0"/>
        <v>64.447000000000003</v>
      </c>
      <c r="AK8" s="93">
        <f t="shared" si="0"/>
        <v>64.447000000000003</v>
      </c>
      <c r="AL8" s="94">
        <f>SUM(AH8:AK8)</f>
        <v>257.78800000000001</v>
      </c>
    </row>
    <row r="9" spans="1:40" x14ac:dyDescent="0.35">
      <c r="B9" s="51" t="s">
        <v>194</v>
      </c>
      <c r="C9" s="53"/>
      <c r="D9" s="97">
        <v>2.1669999999999998</v>
      </c>
      <c r="E9" s="97">
        <v>2.4630000000000001</v>
      </c>
      <c r="F9" s="97">
        <v>-9.61</v>
      </c>
      <c r="G9" s="97">
        <v>2.8080000000000007</v>
      </c>
      <c r="H9" s="298">
        <f>SUM(D9:G9)</f>
        <v>-2.1719999999999988</v>
      </c>
      <c r="I9" s="97">
        <v>4.048</v>
      </c>
      <c r="J9" s="97">
        <v>10.850999999999999</v>
      </c>
      <c r="K9" s="97">
        <v>5.8940000000000001</v>
      </c>
      <c r="L9" s="97">
        <v>6.7839999999999989</v>
      </c>
      <c r="M9" s="298">
        <f>SUM(I9:L9)</f>
        <v>27.576999999999998</v>
      </c>
      <c r="N9" s="97">
        <v>5.444</v>
      </c>
      <c r="O9" s="97">
        <v>5.0700000000000012</v>
      </c>
      <c r="P9" s="97">
        <v>41.001000000000005</v>
      </c>
      <c r="Q9" s="97">
        <v>4.5649999999999933</v>
      </c>
      <c r="R9" s="298">
        <f>SUM(N9:Q9)</f>
        <v>56.08</v>
      </c>
      <c r="S9" s="97">
        <v>5.7780000000000014</v>
      </c>
      <c r="T9" s="97">
        <v>6.3829999999999965</v>
      </c>
      <c r="U9" s="97">
        <v>5.8270000000000062</v>
      </c>
      <c r="V9" s="97">
        <v>13.903999999999996</v>
      </c>
      <c r="W9" s="298">
        <f>SUM(S9:V9)</f>
        <v>31.891999999999999</v>
      </c>
      <c r="X9" s="97">
        <v>7.9050000000000002</v>
      </c>
      <c r="Y9" s="97">
        <v>4.6499999999999977</v>
      </c>
      <c r="Z9" s="97">
        <v>4.3800000000000034</v>
      </c>
      <c r="AA9" s="97">
        <v>2.9590000000000005</v>
      </c>
      <c r="AB9" s="298">
        <f>SUM(X9:AA9)</f>
        <v>19.894000000000002</v>
      </c>
      <c r="AC9" s="97">
        <v>3.819</v>
      </c>
      <c r="AD9" s="256">
        <v>0</v>
      </c>
      <c r="AE9" s="256">
        <f>AD9</f>
        <v>0</v>
      </c>
      <c r="AF9" s="256">
        <f>AE9</f>
        <v>0</v>
      </c>
      <c r="AG9" s="298">
        <f>SUM(AC9:AF9)</f>
        <v>3.819</v>
      </c>
      <c r="AH9" s="256">
        <f>AF9</f>
        <v>0</v>
      </c>
      <c r="AI9" s="256">
        <f t="shared" si="0"/>
        <v>0</v>
      </c>
      <c r="AJ9" s="256">
        <f t="shared" si="0"/>
        <v>0</v>
      </c>
      <c r="AK9" s="256">
        <f t="shared" si="0"/>
        <v>0</v>
      </c>
      <c r="AL9" s="298">
        <f>SUM(AH9:AK9)</f>
        <v>0</v>
      </c>
    </row>
    <row r="10" spans="1:40" s="21" customFormat="1" x14ac:dyDescent="0.35">
      <c r="A10" s="51"/>
      <c r="B10" s="51" t="s">
        <v>195</v>
      </c>
      <c r="C10" s="53"/>
      <c r="D10" s="93"/>
      <c r="E10" s="93"/>
      <c r="F10" s="93"/>
      <c r="G10" s="93"/>
      <c r="H10" s="94"/>
      <c r="I10" s="93"/>
      <c r="J10" s="93"/>
      <c r="K10" s="93"/>
      <c r="L10" s="93"/>
      <c r="M10" s="94"/>
      <c r="N10" s="93"/>
      <c r="O10" s="93"/>
      <c r="P10" s="93"/>
      <c r="Q10" s="93"/>
      <c r="R10" s="22"/>
      <c r="W10" s="22"/>
      <c r="AB10" s="22"/>
      <c r="AD10" s="93"/>
      <c r="AE10" s="93"/>
      <c r="AF10" s="93"/>
      <c r="AG10" s="94"/>
      <c r="AH10" s="93"/>
      <c r="AI10" s="93"/>
      <c r="AJ10" s="93"/>
      <c r="AK10" s="93"/>
      <c r="AL10" s="94"/>
    </row>
    <row r="11" spans="1:40" x14ac:dyDescent="0.35">
      <c r="B11" s="51" t="s">
        <v>196</v>
      </c>
      <c r="C11" s="53"/>
      <c r="D11" s="299">
        <v>2.145</v>
      </c>
      <c r="E11" s="299">
        <f>-0.829-D11</f>
        <v>-2.9740000000000002</v>
      </c>
      <c r="F11" s="299">
        <f>-2.491-SUM(D11:E11)</f>
        <v>-1.6619999999999999</v>
      </c>
      <c r="G11" s="299">
        <f>2.418-SUM(D11:F11)</f>
        <v>4.9090000000000007</v>
      </c>
      <c r="H11" s="298">
        <f>SUM(D11:G11)</f>
        <v>2.4180000000000006</v>
      </c>
      <c r="I11" s="299">
        <v>-8.7859999999999996</v>
      </c>
      <c r="J11" s="299">
        <f>-5.972-I11</f>
        <v>2.8139999999999992</v>
      </c>
      <c r="K11" s="299">
        <f>-17.94-SUM(I11:J11)</f>
        <v>-11.968</v>
      </c>
      <c r="L11" s="299">
        <f>-25.831-SUM(I11:K11)</f>
        <v>-7.8909999999999982</v>
      </c>
      <c r="M11" s="298">
        <f>SUM(I11:L11)</f>
        <v>-25.831</v>
      </c>
      <c r="N11" s="299">
        <v>-8.9969999999999999</v>
      </c>
      <c r="O11" s="299">
        <f>-21.628-N11</f>
        <v>-12.631</v>
      </c>
      <c r="P11" s="299">
        <f>-32.232-O11-N11</f>
        <v>-10.603999999999999</v>
      </c>
      <c r="Q11" s="299">
        <f>-43.353-P11-O11-N11</f>
        <v>-11.121000000000002</v>
      </c>
      <c r="R11" s="298">
        <f>SUM(N11:Q11)</f>
        <v>-43.353000000000002</v>
      </c>
      <c r="S11" s="299">
        <v>-46.119</v>
      </c>
      <c r="T11" s="299">
        <f>-87.738-S11</f>
        <v>-41.619</v>
      </c>
      <c r="U11" s="299">
        <f>-116.903-T11-S11</f>
        <v>-29.165000000000006</v>
      </c>
      <c r="V11" s="299">
        <f>+-124.081-U11-T11-S11</f>
        <v>-7.1779999999999973</v>
      </c>
      <c r="W11" s="298">
        <f>SUM(S11:V11)</f>
        <v>-124.081</v>
      </c>
      <c r="X11" s="299">
        <v>-2.4</v>
      </c>
      <c r="Y11" s="299">
        <f>-15.68-X11</f>
        <v>-13.28</v>
      </c>
      <c r="Z11" s="299">
        <f>-10.762-Y11-X11</f>
        <v>4.9179999999999993</v>
      </c>
      <c r="AA11" s="299">
        <f>-33.904-Z11-Y11-X11</f>
        <v>-23.142000000000003</v>
      </c>
      <c r="AB11" s="298">
        <f>SUM(X11:AA11)</f>
        <v>-33.904000000000003</v>
      </c>
      <c r="AC11" s="299">
        <v>-10.459</v>
      </c>
      <c r="AD11" s="291">
        <f>BS!AC10-BS!AD10</f>
        <v>-18.388972253267241</v>
      </c>
      <c r="AE11" s="291">
        <f>BS!AD10-BS!AE10</f>
        <v>44.050730980568346</v>
      </c>
      <c r="AF11" s="291">
        <f>BS!AE10-BS!AF10</f>
        <v>17.172912870134184</v>
      </c>
      <c r="AG11" s="298">
        <f>SUM(AC11:AF11)</f>
        <v>32.375671597435286</v>
      </c>
      <c r="AH11" s="291">
        <f>BS!AG10-BS!AH10</f>
        <v>-66.966032912503834</v>
      </c>
      <c r="AI11" s="291">
        <f>BS!AH10-BS!AI10</f>
        <v>8.0161472524611099</v>
      </c>
      <c r="AJ11" s="93">
        <f>BS!AI10-BS!AJ10</f>
        <v>40.854634527627695</v>
      </c>
      <c r="AK11" s="93">
        <f>BS!AJ10-BS!AK10</f>
        <v>14.193676767393214</v>
      </c>
      <c r="AL11" s="94">
        <f>SUM(AH11:AK11)</f>
        <v>-3.9015743650218155</v>
      </c>
    </row>
    <row r="12" spans="1:40" x14ac:dyDescent="0.35">
      <c r="B12" s="51" t="s">
        <v>197</v>
      </c>
      <c r="C12" s="76"/>
      <c r="D12" s="299">
        <v>-0.216</v>
      </c>
      <c r="E12" s="299">
        <f>-1.815-D12</f>
        <v>-1.599</v>
      </c>
      <c r="F12" s="299">
        <f>0.4-SUM(D12:E12)</f>
        <v>2.2149999999999999</v>
      </c>
      <c r="G12" s="299">
        <f>0.917-SUM(D12:F12)</f>
        <v>0.51700000000000013</v>
      </c>
      <c r="H12" s="103">
        <f>SUM(D12:G12)</f>
        <v>0.91700000000000004</v>
      </c>
      <c r="I12" s="102">
        <v>-1.7030000000000001</v>
      </c>
      <c r="J12" s="102">
        <f>-5.41-I12</f>
        <v>-3.7069999999999999</v>
      </c>
      <c r="K12" s="102">
        <f>-7.803-SUM(I12:J12)</f>
        <v>-2.3929999999999998</v>
      </c>
      <c r="L12" s="102">
        <f>-7.474-SUM(I12:K12)</f>
        <v>0.32899999999999974</v>
      </c>
      <c r="M12" s="103">
        <f>SUM(I12:L12)</f>
        <v>-7.4740000000000002</v>
      </c>
      <c r="N12" s="299">
        <v>-3.9660000000000002</v>
      </c>
      <c r="O12" s="299">
        <f>-8.991-N12</f>
        <v>-5.0249999999999995</v>
      </c>
      <c r="P12" s="299">
        <f>-8.717-O12-N12</f>
        <v>0.27399999999999913</v>
      </c>
      <c r="Q12" s="299">
        <f>-7.506-P12-O12-N12</f>
        <v>1.2110000000000003</v>
      </c>
      <c r="R12" s="103">
        <f>SUM(N12:Q12)</f>
        <v>-7.5060000000000002</v>
      </c>
      <c r="S12" s="299">
        <v>1.732</v>
      </c>
      <c r="T12" s="299">
        <f>-3.737-S12</f>
        <v>-5.4690000000000003</v>
      </c>
      <c r="U12" s="299">
        <f>-13.372-T12-S12</f>
        <v>-9.6349999999999998</v>
      </c>
      <c r="V12" s="299">
        <f>+-8.257-U12-T12-S12</f>
        <v>5.1150000000000002</v>
      </c>
      <c r="W12" s="103">
        <f>SUM(S12:V12)</f>
        <v>-8.2569999999999997</v>
      </c>
      <c r="X12" s="299">
        <v>-5.2770000000000001</v>
      </c>
      <c r="Y12" s="299">
        <f>-7.281-X12</f>
        <v>-2.0039999999999996</v>
      </c>
      <c r="Z12" s="299">
        <f>-6.669-Y12-X12</f>
        <v>0.6120000000000001</v>
      </c>
      <c r="AA12" s="299">
        <f>-5.353-Z12-Y12-X12</f>
        <v>1.3159999999999998</v>
      </c>
      <c r="AB12" s="103">
        <f>SUM(X12:AA12)</f>
        <v>-5.3529999999999998</v>
      </c>
      <c r="AC12" s="299">
        <v>-2.2650000000000001</v>
      </c>
      <c r="AD12" s="236">
        <f>BS!AD11-BS!AE11</f>
        <v>3.9297388447241701</v>
      </c>
      <c r="AE12" s="236">
        <f>BS!AE11-BS!AF11</f>
        <v>1.12487738748613</v>
      </c>
      <c r="AF12" s="236">
        <f>BS!AF11-BS!AG11</f>
        <v>0</v>
      </c>
      <c r="AG12" s="103">
        <f>SUM(AC12:AF12)</f>
        <v>2.7896162322103</v>
      </c>
      <c r="AH12" s="236">
        <f>BS!AG11-BS!AH11</f>
        <v>-16.517120426508718</v>
      </c>
      <c r="AI12" s="236">
        <f>BS!AH11-BS!AI11</f>
        <v>-0.37172262385722377</v>
      </c>
      <c r="AJ12" s="236">
        <f>BS!AI11-BS!AJ11</f>
        <v>2.5057320007861676</v>
      </c>
      <c r="AK12" s="236">
        <f>BS!AJ11-BS!AK11</f>
        <v>8.0632566490229536</v>
      </c>
      <c r="AL12" s="292">
        <f>SUM(AH12:AK12)</f>
        <v>-6.3198544005568209</v>
      </c>
      <c r="AM12" s="21"/>
      <c r="AN12" s="21"/>
    </row>
    <row r="13" spans="1:40" x14ac:dyDescent="0.35">
      <c r="B13" s="51" t="s">
        <v>198</v>
      </c>
      <c r="C13" s="53"/>
      <c r="D13" s="299">
        <v>-5.4660000000000002</v>
      </c>
      <c r="E13" s="299">
        <v>-0.91199999999999992</v>
      </c>
      <c r="F13" s="299">
        <v>1.1840000000000002</v>
      </c>
      <c r="G13" s="299">
        <v>-1.0679999999999996</v>
      </c>
      <c r="H13" s="103">
        <f>SUM(D13:G13)</f>
        <v>-6.2619999999999996</v>
      </c>
      <c r="I13" s="97">
        <v>0.217</v>
      </c>
      <c r="J13" s="97">
        <f>-4.684-I13</f>
        <v>-4.9009999999999998</v>
      </c>
      <c r="K13" s="97">
        <f>-1.613-SUM(I13:J13)</f>
        <v>3.0710000000000002</v>
      </c>
      <c r="L13" s="97">
        <f>-0.118-SUM(I13:K13)</f>
        <v>1.4950000000000001</v>
      </c>
      <c r="M13" s="94">
        <f>SUM(I13:L13)</f>
        <v>-0.11799999999999988</v>
      </c>
      <c r="N13" s="301">
        <v>-3.31</v>
      </c>
      <c r="O13" s="301">
        <v>15.623000000000001</v>
      </c>
      <c r="P13" s="301">
        <v>-12.13</v>
      </c>
      <c r="Q13" s="301">
        <v>19.039000000000001</v>
      </c>
      <c r="R13" s="94">
        <f>SUM(N13:Q13)</f>
        <v>19.222000000000001</v>
      </c>
      <c r="S13" s="301">
        <v>-7.5570000000000004</v>
      </c>
      <c r="T13" s="301">
        <v>10.048999999999999</v>
      </c>
      <c r="U13" s="301">
        <v>5.8750000000000018</v>
      </c>
      <c r="V13" s="301">
        <v>-2.9050000000000011</v>
      </c>
      <c r="W13" s="94">
        <f>SUM(S13:V13)</f>
        <v>5.4619999999999997</v>
      </c>
      <c r="X13" s="299">
        <v>5.7619999999999996</v>
      </c>
      <c r="Y13" s="299">
        <f>-9.018-X13</f>
        <v>-14.780000000000001</v>
      </c>
      <c r="Z13" s="299">
        <f>+-8.951-Y13-X13</f>
        <v>6.7000000000001059E-2</v>
      </c>
      <c r="AA13" s="299">
        <f>-15.458-Z13-Y13-X13</f>
        <v>-6.5070000000000006</v>
      </c>
      <c r="AB13" s="94">
        <f>SUM(X13:AA13)</f>
        <v>-15.458000000000002</v>
      </c>
      <c r="AC13" s="299">
        <v>10.731999999999999</v>
      </c>
      <c r="AD13" s="93">
        <f>BS!AC21-BS!AD21</f>
        <v>8.0992611684561275</v>
      </c>
      <c r="AE13" s="291">
        <f>BS!AD21-BS!AE21</f>
        <v>0.16285289448352458</v>
      </c>
      <c r="AF13" s="291">
        <f>BS!AE21-BS!AF21</f>
        <v>1.4838685509070793</v>
      </c>
      <c r="AG13" s="94">
        <f>SUM(AD13:AF13)</f>
        <v>9.7459826138467314</v>
      </c>
      <c r="AH13" s="291">
        <f>BS!AG21-BS!AH21</f>
        <v>-3.4785839289152243</v>
      </c>
      <c r="AI13" s="291">
        <f>BS!AH21-BS!AI21</f>
        <v>1.3921422698239212</v>
      </c>
      <c r="AJ13" s="291">
        <f>BS!AI21-BS!AJ21</f>
        <v>0.16692515847323364</v>
      </c>
      <c r="AK13" s="291">
        <f>BS!AJ21-BS!AK21</f>
        <v>-1.3182176470415641E-2</v>
      </c>
      <c r="AL13" s="292">
        <f>SUM(AH13:AK13)</f>
        <v>-1.9326986770884851</v>
      </c>
    </row>
    <row r="14" spans="1:40" x14ac:dyDescent="0.35">
      <c r="B14" s="51" t="s">
        <v>199</v>
      </c>
      <c r="C14" s="53"/>
      <c r="D14" s="299">
        <v>-2.3290000000000002</v>
      </c>
      <c r="E14" s="299">
        <v>23.669999999999998</v>
      </c>
      <c r="F14" s="299">
        <v>6.1550000000000011</v>
      </c>
      <c r="G14" s="299">
        <v>2.6319999999999979</v>
      </c>
      <c r="H14" s="103">
        <f>SUM(D14:G14)</f>
        <v>30.127999999999997</v>
      </c>
      <c r="I14" s="102">
        <f>-3.227+0.099-0.135+3.348-2.832</f>
        <v>-2.7469999999999999</v>
      </c>
      <c r="J14" s="102">
        <f>-5.61+0.099+0.495+6.602-4.9-I14</f>
        <v>-0.56700000000000017</v>
      </c>
      <c r="K14" s="102">
        <f>-7.288+0.097+6.362+16.362-5.47-SUM(I14:J14)</f>
        <v>13.376999999999999</v>
      </c>
      <c r="L14" s="102">
        <f>-23.386-0.06+14.284+10.34-6.895+0.01-SUM(I14:K14)</f>
        <v>-15.769999999999996</v>
      </c>
      <c r="M14" s="103">
        <f>SUM(I14:L14)</f>
        <v>-5.7069999999999972</v>
      </c>
      <c r="N14" s="299">
        <v>-25.975000000000001</v>
      </c>
      <c r="O14" s="299">
        <v>4.610000000000003</v>
      </c>
      <c r="P14" s="299">
        <v>12.211999999999996</v>
      </c>
      <c r="Q14" s="299">
        <v>-5.2829999999999977</v>
      </c>
      <c r="R14" s="103">
        <f>SUM(N14:Q14)</f>
        <v>-14.436</v>
      </c>
      <c r="S14" s="299">
        <v>9.3949999999999996</v>
      </c>
      <c r="T14" s="299">
        <v>19.355999999999998</v>
      </c>
      <c r="U14" s="299">
        <v>0.85099999999999909</v>
      </c>
      <c r="V14" s="299">
        <v>12.594000000000001</v>
      </c>
      <c r="W14" s="103">
        <f>SUM(S14:V14)</f>
        <v>42.195999999999998</v>
      </c>
      <c r="X14" s="299">
        <f>2.338+14.993-2.177-18.181+7.312</f>
        <v>4.2849999999999993</v>
      </c>
      <c r="Y14" s="299">
        <f>12.59+9.936-5.196-11.175+6.368-X14</f>
        <v>8.2379999999999995</v>
      </c>
      <c r="Z14" s="299">
        <f>7.356+15.177-8.424-2.072+5.268-Y14-X14</f>
        <v>4.7820000000000045</v>
      </c>
      <c r="AA14" s="299">
        <f>8.354-26.072+21.619-12.448+10.347+4.962-Z14-Y14-X14</f>
        <v>-10.543000000000005</v>
      </c>
      <c r="AB14" s="103">
        <f>SUM(X14:AA14)</f>
        <v>6.7619999999999987</v>
      </c>
      <c r="AC14" s="299">
        <f>14.428+17.789-4.122-7.625+0.793</f>
        <v>21.262999999999998</v>
      </c>
      <c r="AD14" s="97">
        <v>0</v>
      </c>
      <c r="AE14" s="291">
        <f>AD14</f>
        <v>0</v>
      </c>
      <c r="AF14" s="291">
        <f>AE14</f>
        <v>0</v>
      </c>
      <c r="AG14" s="94">
        <f>SUM(AC14:AF14)</f>
        <v>21.262999999999998</v>
      </c>
      <c r="AH14" s="93">
        <f>AF14</f>
        <v>0</v>
      </c>
      <c r="AI14" s="93">
        <f>AH14</f>
        <v>0</v>
      </c>
      <c r="AJ14" s="93">
        <f>AI14</f>
        <v>0</v>
      </c>
      <c r="AK14" s="93">
        <f>AJ14</f>
        <v>0</v>
      </c>
      <c r="AL14" s="94">
        <f>SUM(AH14:AK14)</f>
        <v>0</v>
      </c>
    </row>
    <row r="15" spans="1:40" s="19" customFormat="1" ht="13.9" x14ac:dyDescent="0.4">
      <c r="A15" s="52" t="s">
        <v>36</v>
      </c>
      <c r="B15" s="52" t="s">
        <v>200</v>
      </c>
      <c r="C15" s="76"/>
      <c r="D15" s="300">
        <f>SUM(D6:D14)</f>
        <v>-31.818999999999992</v>
      </c>
      <c r="E15" s="300">
        <f t="shared" ref="E15:G15" si="1">SUM(E6:E14)</f>
        <v>-3.9319999999999986</v>
      </c>
      <c r="F15" s="300">
        <f t="shared" si="1"/>
        <v>-12.626999999999992</v>
      </c>
      <c r="G15" s="300">
        <f t="shared" si="1"/>
        <v>-15.035000000000053</v>
      </c>
      <c r="H15" s="101">
        <f>SUM(H6:H14)</f>
        <v>-63.413000000000025</v>
      </c>
      <c r="I15" s="300">
        <f t="shared" ref="I15" si="2">SUM(I6:I14)</f>
        <v>-35.1</v>
      </c>
      <c r="J15" s="300">
        <f t="shared" ref="J15" si="3">SUM(J6:J14)</f>
        <v>-40.98</v>
      </c>
      <c r="K15" s="300">
        <f t="shared" ref="K15" si="4">SUM(K6:K14)</f>
        <v>-33.130999999999986</v>
      </c>
      <c r="L15" s="300">
        <f t="shared" ref="L15:N15" si="5">SUM(L6:L14)</f>
        <v>-73.311999999999998</v>
      </c>
      <c r="M15" s="101">
        <f t="shared" si="5"/>
        <v>-182.523</v>
      </c>
      <c r="N15" s="300">
        <f t="shared" si="5"/>
        <v>-74.876000000000005</v>
      </c>
      <c r="O15" s="300">
        <f t="shared" ref="O15" si="6">SUM(O6:O14)</f>
        <v>-70.563000000000031</v>
      </c>
      <c r="P15" s="300">
        <f t="shared" ref="P15" si="7">SUM(P6:P14)</f>
        <v>-91.060999999999979</v>
      </c>
      <c r="Q15" s="300">
        <f t="shared" ref="Q15:S15" si="8">SUM(Q6:Q14)</f>
        <v>-98.736000000000004</v>
      </c>
      <c r="R15" s="101">
        <f t="shared" si="8"/>
        <v>-335.23600000000005</v>
      </c>
      <c r="S15" s="300">
        <f t="shared" si="8"/>
        <v>-137.27699999999996</v>
      </c>
      <c r="T15" s="300">
        <f t="shared" ref="T15" si="9">SUM(T6:T14)</f>
        <v>-110.84900000000002</v>
      </c>
      <c r="U15" s="300">
        <f t="shared" ref="U15" si="10">SUM(U6:U14)</f>
        <v>-102.248</v>
      </c>
      <c r="V15" s="300">
        <f t="shared" ref="V15:W15" si="11">SUM(V6:V14)</f>
        <v>-81.126999999999981</v>
      </c>
      <c r="W15" s="101">
        <f t="shared" si="11"/>
        <v>-431.50099999999986</v>
      </c>
      <c r="X15" s="300">
        <f t="shared" ref="X15" si="12">SUM(X6:X14)</f>
        <v>-80.89</v>
      </c>
      <c r="Y15" s="300">
        <f t="shared" ref="Y15" si="13">SUM(Y6:Y14)</f>
        <v>-78.385000000000034</v>
      </c>
      <c r="Z15" s="300">
        <f t="shared" ref="Z15" si="14">SUM(Z6:Z14)</f>
        <v>-29.554999999999922</v>
      </c>
      <c r="AA15" s="300">
        <f t="shared" ref="AA15" si="15">SUM(AA6:AA14)</f>
        <v>-58.118000000000059</v>
      </c>
      <c r="AB15" s="101">
        <f t="shared" ref="AB15:AC15" si="16">SUM(AB6:AB14)</f>
        <v>-246.94800000000001</v>
      </c>
      <c r="AC15" s="300">
        <f t="shared" si="16"/>
        <v>27.001000000000069</v>
      </c>
      <c r="AD15" s="286">
        <f t="shared" ref="AD15" si="17">SUM(AD6:AD14)</f>
        <v>-31.728133992044501</v>
      </c>
      <c r="AE15" s="286">
        <f t="shared" ref="AE15" si="18">SUM(AE6:AE14)</f>
        <v>38.716132660883559</v>
      </c>
      <c r="AF15" s="286">
        <f t="shared" ref="AF15" si="19">SUM(AF6:AF14)</f>
        <v>36.734715320113096</v>
      </c>
      <c r="AG15" s="74">
        <f>SUM(AC15:AF15)</f>
        <v>70.723713988952227</v>
      </c>
      <c r="AH15" s="300">
        <f t="shared" ref="AH15" si="20">SUM(AH6:AH14)</f>
        <v>-60.685150997927764</v>
      </c>
      <c r="AI15" s="286">
        <f t="shared" ref="AI15" si="21">SUM(AI6:AI14)</f>
        <v>49.980330318172435</v>
      </c>
      <c r="AJ15" s="286">
        <f t="shared" ref="AJ15" si="22">SUM(AJ6:AJ14)</f>
        <v>92.650982119503553</v>
      </c>
      <c r="AK15" s="286">
        <f t="shared" ref="AK15" si="23">SUM(AK6:AK14)</f>
        <v>91.712381039035677</v>
      </c>
      <c r="AL15" s="74">
        <f>SUM(AH15:AK15)</f>
        <v>173.65854247878389</v>
      </c>
    </row>
    <row r="16" spans="1:40" x14ac:dyDescent="0.35">
      <c r="B16" s="51"/>
      <c r="C16" s="53"/>
      <c r="D16" s="299"/>
      <c r="E16" s="299"/>
      <c r="F16" s="299"/>
      <c r="G16" s="299"/>
      <c r="H16" s="103"/>
      <c r="I16" s="102"/>
      <c r="J16" s="102"/>
      <c r="K16" s="102"/>
      <c r="L16" s="102"/>
      <c r="M16" s="103"/>
      <c r="N16" s="299"/>
      <c r="O16" s="299"/>
      <c r="P16" s="299"/>
      <c r="Q16" s="299"/>
      <c r="R16" s="27"/>
      <c r="S16" s="299"/>
      <c r="T16" s="299"/>
      <c r="U16" s="299"/>
      <c r="V16" s="299"/>
      <c r="W16" s="27"/>
      <c r="X16" s="299"/>
      <c r="Y16" s="299"/>
      <c r="Z16" s="299"/>
      <c r="AA16" s="299"/>
      <c r="AB16" s="27"/>
      <c r="AC16" s="299"/>
      <c r="AD16" s="102"/>
      <c r="AE16" s="102"/>
      <c r="AF16" s="102"/>
      <c r="AG16" s="103"/>
      <c r="AH16" s="51"/>
      <c r="AI16" s="51"/>
      <c r="AJ16" s="51"/>
      <c r="AK16" s="51"/>
      <c r="AL16" s="75"/>
    </row>
    <row r="17" spans="1:39" x14ac:dyDescent="0.35">
      <c r="B17" s="158" t="s">
        <v>223</v>
      </c>
      <c r="C17" s="53"/>
      <c r="D17" s="299"/>
      <c r="E17" s="299"/>
      <c r="F17" s="299"/>
      <c r="G17" s="299"/>
      <c r="H17" s="103"/>
      <c r="I17" s="102"/>
      <c r="J17" s="102"/>
      <c r="K17" s="102"/>
      <c r="L17" s="102"/>
      <c r="M17" s="103"/>
      <c r="N17" s="299"/>
      <c r="O17" s="299"/>
      <c r="P17" s="299"/>
      <c r="Q17" s="299"/>
      <c r="R17" s="27"/>
      <c r="S17" s="299"/>
      <c r="T17" s="299"/>
      <c r="U17" s="299"/>
      <c r="V17" s="299"/>
      <c r="W17" s="27"/>
      <c r="X17" s="299"/>
      <c r="Y17" s="299"/>
      <c r="Z17" s="299"/>
      <c r="AA17" s="299"/>
      <c r="AB17" s="27"/>
      <c r="AC17" s="299"/>
      <c r="AD17" s="102"/>
      <c r="AE17" s="102"/>
      <c r="AF17" s="102"/>
      <c r="AG17" s="103"/>
      <c r="AH17" s="51"/>
      <c r="AI17" s="51"/>
      <c r="AJ17" s="51"/>
      <c r="AK17" s="51"/>
      <c r="AL17" s="75"/>
    </row>
    <row r="18" spans="1:39" s="19" customFormat="1" ht="13.9" x14ac:dyDescent="0.4">
      <c r="A18" s="52"/>
      <c r="B18" s="51" t="s">
        <v>201</v>
      </c>
      <c r="C18" s="76"/>
      <c r="D18" s="299">
        <v>-0.95499999999999996</v>
      </c>
      <c r="E18" s="299">
        <f>-1.599-SUM(D18)</f>
        <v>-0.64400000000000002</v>
      </c>
      <c r="F18" s="299">
        <f>-2.554-SUM(D18:E18)</f>
        <v>-0.95499999999999985</v>
      </c>
      <c r="G18" s="299">
        <f>-4.968-SUM(D18:F18)</f>
        <v>-2.4140000000000001</v>
      </c>
      <c r="H18" s="103">
        <f>SUM(D18:G18)</f>
        <v>-4.968</v>
      </c>
      <c r="I18" s="302">
        <v>-7.9169999999999998</v>
      </c>
      <c r="J18" s="302">
        <f>-10.13-I18</f>
        <v>-2.213000000000001</v>
      </c>
      <c r="K18" s="302">
        <f>-12.073-SUM(I18:J18)</f>
        <v>-1.9429999999999996</v>
      </c>
      <c r="L18" s="302">
        <f>-19.604-SUM(I18:K18)</f>
        <v>-7.5309999999999988</v>
      </c>
      <c r="M18" s="103">
        <f>SUM(I18:L18)</f>
        <v>-19.603999999999999</v>
      </c>
      <c r="N18" s="299">
        <v>-10.26</v>
      </c>
      <c r="O18" s="299">
        <f>-18.891-N18</f>
        <v>-8.6309999999999985</v>
      </c>
      <c r="P18" s="299">
        <f>-32.027-O18-N18</f>
        <v>-13.136000000000001</v>
      </c>
      <c r="Q18" s="299">
        <f>-41.03-P18-O18-N18</f>
        <v>-9.0029999999999983</v>
      </c>
      <c r="R18" s="103">
        <f>SUM(N18:Q18)</f>
        <v>-41.03</v>
      </c>
      <c r="S18" s="299">
        <v>-15.885</v>
      </c>
      <c r="T18" s="299">
        <v>-7.7760000000000016</v>
      </c>
      <c r="U18" s="299">
        <v>-12.208999999999994</v>
      </c>
      <c r="V18" s="299">
        <v>-11.827000000000004</v>
      </c>
      <c r="W18" s="103">
        <f>SUM(S18:V18)</f>
        <v>-47.697000000000003</v>
      </c>
      <c r="X18" s="299">
        <v>-11.598000000000001</v>
      </c>
      <c r="Y18" s="299">
        <v>-8.9679999999999982</v>
      </c>
      <c r="Z18" s="299">
        <v>-9.1010000000000044</v>
      </c>
      <c r="AA18" s="299">
        <v>-9.5319999999999947</v>
      </c>
      <c r="AB18" s="103">
        <f>SUM(X18:AA18)</f>
        <v>-39.198999999999998</v>
      </c>
      <c r="AC18" s="299">
        <v>-20.315000000000001</v>
      </c>
      <c r="AD18" s="305">
        <f>-BS!AD53</f>
        <v>-20.643269500669128</v>
      </c>
      <c r="AE18" s="305">
        <f>-BS!AE53</f>
        <v>-19.50279566446212</v>
      </c>
      <c r="AF18" s="305">
        <f>-BS!AF53</f>
        <v>-20.660387590176772</v>
      </c>
      <c r="AG18" s="103">
        <f>SUM(AC18:AF18)</f>
        <v>-81.121452755308027</v>
      </c>
      <c r="AH18" s="305">
        <f>-BS!AH53</f>
        <v>-9.5167472400000026</v>
      </c>
      <c r="AI18" s="305">
        <f>-BS!AI53</f>
        <v>-9.2729227610709763</v>
      </c>
      <c r="AJ18" s="305">
        <f>-BS!AJ53</f>
        <v>-8.7602846845697808</v>
      </c>
      <c r="AK18" s="305">
        <f>-BS!AK53</f>
        <v>-9.1182439510169075</v>
      </c>
      <c r="AL18" s="103">
        <f>SUM(AH18:AK18)</f>
        <v>-36.668198636657671</v>
      </c>
    </row>
    <row r="19" spans="1:39" x14ac:dyDescent="0.35">
      <c r="B19" s="51" t="s">
        <v>202</v>
      </c>
      <c r="C19" s="53"/>
      <c r="D19" s="299">
        <f>-18.628+32.5</f>
        <v>13.872</v>
      </c>
      <c r="E19" s="299">
        <f>-162.176+62.78-D19</f>
        <v>-113.26799999999999</v>
      </c>
      <c r="F19" s="299">
        <f>-197.009+118.78-SUM(D19:E19)</f>
        <v>21.167000000000002</v>
      </c>
      <c r="G19" s="299">
        <f>-446.626+1.666+173.9-SUM(D19:F19)</f>
        <v>-192.83099999999996</v>
      </c>
      <c r="H19" s="103">
        <f t="shared" ref="H19:H24" si="24">SUM(D19:G19)</f>
        <v>-271.05999999999995</v>
      </c>
      <c r="I19" s="302">
        <f>-53.876+11.5+93.785</f>
        <v>51.408999999999999</v>
      </c>
      <c r="J19" s="302">
        <f>11.5+142.815-266.139-I19</f>
        <v>-163.233</v>
      </c>
      <c r="K19" s="302">
        <f>-479.037+11.5+247.315-SUM(I19:J19)</f>
        <v>-108.39799999999997</v>
      </c>
      <c r="L19" s="302">
        <f>-685.239+30.067+343.315-SUM(I19:K19)</f>
        <v>-91.635000000000048</v>
      </c>
      <c r="M19" s="103">
        <f t="shared" ref="M19:M24" si="25">SUM(I19:L19)</f>
        <v>-311.85700000000003</v>
      </c>
      <c r="N19" s="299">
        <f>-43.024+140.024</f>
        <v>97</v>
      </c>
      <c r="O19" s="299">
        <f>-71.054-N19+31.144</f>
        <v>-136.91</v>
      </c>
      <c r="P19" s="299">
        <f>-674.372-O19-N19+77.563</f>
        <v>-556.899</v>
      </c>
      <c r="Q19" s="299">
        <f>-876.095-P19-O19-N19</f>
        <v>-279.28600000000006</v>
      </c>
      <c r="R19" s="103">
        <f t="shared" ref="R19:R24" si="26">SUM(N19:Q19)</f>
        <v>-876.09500000000003</v>
      </c>
      <c r="S19" s="299">
        <v>56.022999999999996</v>
      </c>
      <c r="T19" s="299">
        <v>-135.97899999999998</v>
      </c>
      <c r="U19" s="299">
        <v>-6.9910000000000139</v>
      </c>
      <c r="V19" s="299">
        <v>0</v>
      </c>
      <c r="W19" s="103">
        <f t="shared" ref="W19:W24" si="27">SUM(S19:V19)</f>
        <v>-86.947000000000003</v>
      </c>
      <c r="X19" s="299">
        <v>27.25</v>
      </c>
      <c r="Y19" s="299">
        <v>-27.25</v>
      </c>
      <c r="Z19" s="299">
        <v>0</v>
      </c>
      <c r="AA19" s="299">
        <v>-98.302999999999997</v>
      </c>
      <c r="AB19" s="103">
        <f t="shared" ref="AB19:AB24" si="28">SUM(X19:AA19)</f>
        <v>-98.302999999999997</v>
      </c>
      <c r="AC19" s="299">
        <v>169.065</v>
      </c>
      <c r="AD19" s="236">
        <f>BS!AD8-BS!AC8</f>
        <v>0</v>
      </c>
      <c r="AE19" s="236">
        <f>BS!AE8-BS!AD8</f>
        <v>0</v>
      </c>
      <c r="AF19" s="236">
        <f>BS!AF8-BS!AE8</f>
        <v>0</v>
      </c>
      <c r="AG19" s="103">
        <f>SUM(AC19:AF19)</f>
        <v>169.065</v>
      </c>
      <c r="AH19" s="236">
        <f>-BS!AH8+BS!AG8</f>
        <v>19.120999999999995</v>
      </c>
      <c r="AI19" s="236">
        <f>-BS!AI8+BS!AH8</f>
        <v>20</v>
      </c>
      <c r="AJ19" s="236">
        <f>-BS!AJ8+BS!AI8</f>
        <v>10</v>
      </c>
      <c r="AK19" s="236">
        <f>-BS!AK8+BS!AJ8</f>
        <v>10</v>
      </c>
      <c r="AL19" s="103">
        <f>SUM(AH19:AK19)</f>
        <v>59.120999999999995</v>
      </c>
    </row>
    <row r="20" spans="1:39" x14ac:dyDescent="0.35">
      <c r="B20" s="51" t="s">
        <v>203</v>
      </c>
      <c r="C20" s="53"/>
      <c r="D20" s="299">
        <v>0</v>
      </c>
      <c r="E20" s="299">
        <v>0</v>
      </c>
      <c r="F20" s="299">
        <v>0</v>
      </c>
      <c r="G20" s="299">
        <v>0</v>
      </c>
      <c r="H20" s="103">
        <f t="shared" si="24"/>
        <v>0</v>
      </c>
      <c r="I20" s="302">
        <v>0</v>
      </c>
      <c r="J20" s="302">
        <v>0</v>
      </c>
      <c r="K20" s="302">
        <v>0</v>
      </c>
      <c r="L20" s="302">
        <v>0</v>
      </c>
      <c r="M20" s="103">
        <f t="shared" si="25"/>
        <v>0</v>
      </c>
      <c r="N20" s="299">
        <v>0</v>
      </c>
      <c r="O20" s="299">
        <v>0</v>
      </c>
      <c r="P20" s="299">
        <v>0</v>
      </c>
      <c r="Q20" s="299">
        <v>0</v>
      </c>
      <c r="R20" s="103">
        <f t="shared" si="26"/>
        <v>0</v>
      </c>
      <c r="S20" s="299">
        <v>0</v>
      </c>
      <c r="T20" s="299">
        <v>191.93899999999999</v>
      </c>
      <c r="U20" s="299">
        <v>22.799000000000007</v>
      </c>
      <c r="V20" s="299">
        <v>33.744</v>
      </c>
      <c r="W20" s="103">
        <f t="shared" si="27"/>
        <v>248.482</v>
      </c>
      <c r="X20" s="299">
        <v>0</v>
      </c>
      <c r="Y20" s="299">
        <v>83.25</v>
      </c>
      <c r="Z20" s="299">
        <v>-83.25</v>
      </c>
      <c r="AA20" s="299">
        <v>0</v>
      </c>
      <c r="AB20" s="103">
        <f t="shared" si="28"/>
        <v>0</v>
      </c>
      <c r="AC20" s="299">
        <v>-10.494999999999999</v>
      </c>
      <c r="AD20" s="102">
        <v>0</v>
      </c>
      <c r="AE20" s="236">
        <f t="shared" ref="AE20:AF24" si="29">AD20</f>
        <v>0</v>
      </c>
      <c r="AF20" s="236">
        <f t="shared" si="29"/>
        <v>0</v>
      </c>
      <c r="AG20" s="103">
        <f t="shared" ref="AG20:AG24" si="30">SUM(AC20:AF20)</f>
        <v>-10.494999999999999</v>
      </c>
      <c r="AH20" s="291">
        <f>AF20</f>
        <v>0</v>
      </c>
      <c r="AI20" s="228">
        <f t="shared" ref="AI20:AK24" si="31">AH20</f>
        <v>0</v>
      </c>
      <c r="AJ20" s="228">
        <f t="shared" si="31"/>
        <v>0</v>
      </c>
      <c r="AK20" s="228">
        <f t="shared" si="31"/>
        <v>0</v>
      </c>
      <c r="AL20" s="103">
        <f t="shared" ref="AL20:AL24" si="32">SUM(AH20:AK20)</f>
        <v>0</v>
      </c>
    </row>
    <row r="21" spans="1:39" x14ac:dyDescent="0.35">
      <c r="B21" s="51" t="s">
        <v>204</v>
      </c>
      <c r="C21" s="53"/>
      <c r="D21" s="299">
        <v>0</v>
      </c>
      <c r="E21" s="299">
        <v>0</v>
      </c>
      <c r="F21" s="299">
        <v>0</v>
      </c>
      <c r="G21" s="299">
        <v>0</v>
      </c>
      <c r="H21" s="103">
        <f t="shared" si="24"/>
        <v>0</v>
      </c>
      <c r="I21" s="302">
        <v>0</v>
      </c>
      <c r="J21" s="302">
        <v>0</v>
      </c>
      <c r="K21" s="302">
        <v>0</v>
      </c>
      <c r="L21" s="302">
        <v>0</v>
      </c>
      <c r="M21" s="103">
        <f t="shared" si="25"/>
        <v>0</v>
      </c>
      <c r="N21" s="299">
        <v>0</v>
      </c>
      <c r="O21" s="299">
        <v>0</v>
      </c>
      <c r="P21" s="299">
        <v>0</v>
      </c>
      <c r="Q21" s="299">
        <v>0</v>
      </c>
      <c r="R21" s="103">
        <f t="shared" si="26"/>
        <v>0</v>
      </c>
      <c r="S21" s="299">
        <v>0</v>
      </c>
      <c r="T21" s="299">
        <v>0</v>
      </c>
      <c r="U21" s="299">
        <v>0</v>
      </c>
      <c r="V21" s="299">
        <v>0</v>
      </c>
      <c r="W21" s="103">
        <f t="shared" si="27"/>
        <v>0</v>
      </c>
      <c r="X21" s="299">
        <v>0</v>
      </c>
      <c r="Y21" s="299">
        <v>0</v>
      </c>
      <c r="Z21" s="299">
        <v>0</v>
      </c>
      <c r="AA21" s="299">
        <v>0</v>
      </c>
      <c r="AB21" s="103">
        <f t="shared" si="28"/>
        <v>0</v>
      </c>
      <c r="AC21" s="299">
        <v>0</v>
      </c>
      <c r="AD21" s="236">
        <f>AC21</f>
        <v>0</v>
      </c>
      <c r="AE21" s="236">
        <f t="shared" si="29"/>
        <v>0</v>
      </c>
      <c r="AF21" s="236">
        <f t="shared" si="29"/>
        <v>0</v>
      </c>
      <c r="AG21" s="103">
        <f t="shared" si="30"/>
        <v>0</v>
      </c>
      <c r="AH21" s="291">
        <f>AF21</f>
        <v>0</v>
      </c>
      <c r="AI21" s="228">
        <f t="shared" si="31"/>
        <v>0</v>
      </c>
      <c r="AJ21" s="228">
        <f t="shared" si="31"/>
        <v>0</v>
      </c>
      <c r="AK21" s="228">
        <f t="shared" si="31"/>
        <v>0</v>
      </c>
      <c r="AL21" s="103">
        <f t="shared" si="32"/>
        <v>0</v>
      </c>
    </row>
    <row r="22" spans="1:39" x14ac:dyDescent="0.35">
      <c r="B22" s="51" t="s">
        <v>205</v>
      </c>
      <c r="C22" s="53"/>
      <c r="D22" s="299">
        <v>0</v>
      </c>
      <c r="E22" s="299">
        <v>0</v>
      </c>
      <c r="F22" s="299">
        <v>0</v>
      </c>
      <c r="G22" s="299">
        <v>0</v>
      </c>
      <c r="H22" s="103">
        <f t="shared" si="24"/>
        <v>0</v>
      </c>
      <c r="I22" s="302">
        <v>0</v>
      </c>
      <c r="J22" s="302">
        <v>0</v>
      </c>
      <c r="K22" s="302">
        <v>0</v>
      </c>
      <c r="L22" s="302">
        <v>0</v>
      </c>
      <c r="M22" s="103">
        <f t="shared" si="25"/>
        <v>0</v>
      </c>
      <c r="N22" s="299">
        <v>0</v>
      </c>
      <c r="O22" s="299">
        <v>0</v>
      </c>
      <c r="P22" s="299">
        <v>0</v>
      </c>
      <c r="Q22" s="299">
        <v>0</v>
      </c>
      <c r="R22" s="103">
        <f t="shared" si="26"/>
        <v>0</v>
      </c>
      <c r="S22" s="299">
        <v>0</v>
      </c>
      <c r="T22" s="299">
        <v>0</v>
      </c>
      <c r="U22" s="299">
        <v>0</v>
      </c>
      <c r="V22" s="299">
        <v>0</v>
      </c>
      <c r="W22" s="103">
        <f t="shared" si="27"/>
        <v>0</v>
      </c>
      <c r="X22" s="299">
        <v>0</v>
      </c>
      <c r="Y22" s="299">
        <v>0</v>
      </c>
      <c r="Z22" s="299">
        <v>0</v>
      </c>
      <c r="AA22" s="299">
        <v>0</v>
      </c>
      <c r="AB22" s="103">
        <f t="shared" si="28"/>
        <v>0</v>
      </c>
      <c r="AC22" s="299">
        <v>0</v>
      </c>
      <c r="AD22" s="236">
        <f>AC22</f>
        <v>0</v>
      </c>
      <c r="AE22" s="236">
        <f t="shared" si="29"/>
        <v>0</v>
      </c>
      <c r="AF22" s="236">
        <f t="shared" si="29"/>
        <v>0</v>
      </c>
      <c r="AG22" s="103">
        <f t="shared" si="30"/>
        <v>0</v>
      </c>
      <c r="AH22" s="291">
        <f>AF22</f>
        <v>0</v>
      </c>
      <c r="AI22" s="228">
        <f t="shared" si="31"/>
        <v>0</v>
      </c>
      <c r="AJ22" s="228">
        <f t="shared" si="31"/>
        <v>0</v>
      </c>
      <c r="AK22" s="228">
        <f t="shared" si="31"/>
        <v>0</v>
      </c>
      <c r="AL22" s="103">
        <f t="shared" si="32"/>
        <v>0</v>
      </c>
    </row>
    <row r="23" spans="1:39" x14ac:dyDescent="0.35">
      <c r="B23" s="51" t="s">
        <v>206</v>
      </c>
      <c r="C23" s="53"/>
      <c r="D23" s="299">
        <v>0</v>
      </c>
      <c r="E23" s="299">
        <v>0</v>
      </c>
      <c r="F23" s="299">
        <v>0</v>
      </c>
      <c r="G23" s="299">
        <v>0</v>
      </c>
      <c r="H23" s="103">
        <f t="shared" si="24"/>
        <v>0</v>
      </c>
      <c r="I23" s="302">
        <v>0</v>
      </c>
      <c r="J23" s="302">
        <v>0</v>
      </c>
      <c r="K23" s="302">
        <v>0</v>
      </c>
      <c r="L23" s="302">
        <v>0</v>
      </c>
      <c r="M23" s="103">
        <f t="shared" si="25"/>
        <v>0</v>
      </c>
      <c r="N23" s="299">
        <v>0</v>
      </c>
      <c r="O23" s="299">
        <v>0</v>
      </c>
      <c r="P23" s="299">
        <v>0</v>
      </c>
      <c r="Q23" s="299">
        <v>0</v>
      </c>
      <c r="R23" s="103">
        <f t="shared" si="26"/>
        <v>0</v>
      </c>
      <c r="S23" s="299">
        <v>0</v>
      </c>
      <c r="T23" s="299">
        <v>0</v>
      </c>
      <c r="U23" s="299">
        <v>0</v>
      </c>
      <c r="V23" s="299">
        <v>0</v>
      </c>
      <c r="W23" s="103">
        <f t="shared" si="27"/>
        <v>0</v>
      </c>
      <c r="X23" s="299">
        <v>0</v>
      </c>
      <c r="Y23" s="299">
        <v>0</v>
      </c>
      <c r="Z23" s="299">
        <v>0</v>
      </c>
      <c r="AA23" s="299">
        <v>0</v>
      </c>
      <c r="AB23" s="103">
        <f t="shared" si="28"/>
        <v>0</v>
      </c>
      <c r="AC23" s="299">
        <v>0</v>
      </c>
      <c r="AD23" s="236">
        <f>AC23</f>
        <v>0</v>
      </c>
      <c r="AE23" s="236">
        <f t="shared" si="29"/>
        <v>0</v>
      </c>
      <c r="AF23" s="236">
        <f t="shared" si="29"/>
        <v>0</v>
      </c>
      <c r="AG23" s="103">
        <f t="shared" si="30"/>
        <v>0</v>
      </c>
      <c r="AH23" s="291">
        <f>AF23</f>
        <v>0</v>
      </c>
      <c r="AI23" s="228">
        <f t="shared" si="31"/>
        <v>0</v>
      </c>
      <c r="AJ23" s="228">
        <f t="shared" si="31"/>
        <v>0</v>
      </c>
      <c r="AK23" s="228">
        <f t="shared" si="31"/>
        <v>0</v>
      </c>
      <c r="AL23" s="103">
        <f t="shared" si="32"/>
        <v>0</v>
      </c>
    </row>
    <row r="24" spans="1:39" x14ac:dyDescent="0.35">
      <c r="B24" s="51" t="s">
        <v>207</v>
      </c>
      <c r="C24" s="53"/>
      <c r="D24" s="299">
        <v>0</v>
      </c>
      <c r="E24" s="299">
        <v>0</v>
      </c>
      <c r="F24" s="299">
        <v>9.6750000000000007</v>
      </c>
      <c r="G24" s="299">
        <v>0</v>
      </c>
      <c r="H24" s="103">
        <f t="shared" si="24"/>
        <v>9.6750000000000007</v>
      </c>
      <c r="I24" s="302">
        <v>0</v>
      </c>
      <c r="J24" s="302">
        <v>0</v>
      </c>
      <c r="K24" s="302">
        <v>0</v>
      </c>
      <c r="L24" s="302">
        <v>0</v>
      </c>
      <c r="M24" s="103">
        <f t="shared" si="25"/>
        <v>0</v>
      </c>
      <c r="N24" s="299">
        <v>0</v>
      </c>
      <c r="O24" s="299">
        <f>205.51-N24</f>
        <v>205.51</v>
      </c>
      <c r="P24" s="299">
        <f>348.41-4.271-O24-N24</f>
        <v>138.62900000000002</v>
      </c>
      <c r="Q24" s="299">
        <f>187.58+532.91-8.558-P24-O24-N24</f>
        <v>367.79300000000001</v>
      </c>
      <c r="R24" s="103">
        <f t="shared" si="26"/>
        <v>711.93200000000002</v>
      </c>
      <c r="S24" s="299">
        <v>166.89500000000001</v>
      </c>
      <c r="T24" s="299">
        <v>-13.39500000000001</v>
      </c>
      <c r="U24" s="299">
        <v>63</v>
      </c>
      <c r="V24" s="299">
        <v>0</v>
      </c>
      <c r="W24" s="103">
        <f t="shared" si="27"/>
        <v>216.5</v>
      </c>
      <c r="X24" s="299">
        <v>0</v>
      </c>
      <c r="Y24" s="299">
        <v>0</v>
      </c>
      <c r="Z24" s="299">
        <v>173.5</v>
      </c>
      <c r="AA24" s="299">
        <v>132.5</v>
      </c>
      <c r="AB24" s="103">
        <f t="shared" si="28"/>
        <v>306</v>
      </c>
      <c r="AC24" s="299">
        <v>0</v>
      </c>
      <c r="AD24" s="236">
        <f>AC24</f>
        <v>0</v>
      </c>
      <c r="AE24" s="236">
        <f t="shared" si="29"/>
        <v>0</v>
      </c>
      <c r="AF24" s="236">
        <f t="shared" si="29"/>
        <v>0</v>
      </c>
      <c r="AG24" s="103">
        <f t="shared" si="30"/>
        <v>0</v>
      </c>
      <c r="AH24" s="291">
        <f>AF24</f>
        <v>0</v>
      </c>
      <c r="AI24" s="228">
        <f t="shared" si="31"/>
        <v>0</v>
      </c>
      <c r="AJ24" s="228">
        <f t="shared" si="31"/>
        <v>0</v>
      </c>
      <c r="AK24" s="228">
        <f t="shared" si="31"/>
        <v>0</v>
      </c>
      <c r="AL24" s="103">
        <f t="shared" si="32"/>
        <v>0</v>
      </c>
    </row>
    <row r="25" spans="1:39" s="19" customFormat="1" ht="13.9" x14ac:dyDescent="0.4">
      <c r="A25" s="52" t="s">
        <v>36</v>
      </c>
      <c r="B25" s="52" t="s">
        <v>208</v>
      </c>
      <c r="C25" s="76"/>
      <c r="D25" s="300">
        <f>SUM(D18:D24)</f>
        <v>12.917</v>
      </c>
      <c r="E25" s="300">
        <f t="shared" ref="E25:G25" si="33">SUM(E18:E24)</f>
        <v>-113.91199999999999</v>
      </c>
      <c r="F25" s="300">
        <f t="shared" si="33"/>
        <v>29.887000000000004</v>
      </c>
      <c r="G25" s="300">
        <f t="shared" si="33"/>
        <v>-195.24499999999995</v>
      </c>
      <c r="H25" s="101">
        <f>SUM(H18:H24)</f>
        <v>-266.35299999999995</v>
      </c>
      <c r="I25" s="300">
        <f>SUM(I18:I24)</f>
        <v>43.491999999999997</v>
      </c>
      <c r="J25" s="300">
        <f t="shared" ref="J25" si="34">SUM(J18:J24)</f>
        <v>-165.446</v>
      </c>
      <c r="K25" s="300">
        <f t="shared" ref="K25" si="35">SUM(K18:K24)</f>
        <v>-110.34099999999997</v>
      </c>
      <c r="L25" s="300">
        <f t="shared" ref="L25" si="36">SUM(L18:L24)</f>
        <v>-99.166000000000054</v>
      </c>
      <c r="M25" s="101">
        <f>SUM(M18:M24)</f>
        <v>-331.46100000000001</v>
      </c>
      <c r="N25" s="300">
        <f t="shared" ref="N25" si="37">SUM(N18:N24)</f>
        <v>86.74</v>
      </c>
      <c r="O25" s="300">
        <f t="shared" ref="O25" si="38">SUM(O18:O24)</f>
        <v>59.968999999999994</v>
      </c>
      <c r="P25" s="300">
        <f t="shared" ref="P25" si="39">SUM(P18:P24)</f>
        <v>-431.40599999999995</v>
      </c>
      <c r="Q25" s="300">
        <f t="shared" ref="Q25:S25" si="40">SUM(Q18:Q24)</f>
        <v>79.503999999999962</v>
      </c>
      <c r="R25" s="101">
        <f t="shared" si="40"/>
        <v>-205.19299999999998</v>
      </c>
      <c r="S25" s="300">
        <f t="shared" si="40"/>
        <v>207.03300000000002</v>
      </c>
      <c r="T25" s="300">
        <f t="shared" ref="T25" si="41">SUM(T18:T24)</f>
        <v>34.788999999999987</v>
      </c>
      <c r="U25" s="300">
        <f t="shared" ref="U25" si="42">SUM(U18:U24)</f>
        <v>66.59899999999999</v>
      </c>
      <c r="V25" s="300">
        <f t="shared" ref="V25:W25" si="43">SUM(V18:V24)</f>
        <v>21.916999999999994</v>
      </c>
      <c r="W25" s="101">
        <f t="shared" si="43"/>
        <v>330.33799999999997</v>
      </c>
      <c r="X25" s="306">
        <f t="shared" ref="X25" si="44">SUM(X18:X24)</f>
        <v>15.651999999999999</v>
      </c>
      <c r="Y25" s="306">
        <f t="shared" ref="Y25" si="45">SUM(Y18:Y24)</f>
        <v>47.032000000000004</v>
      </c>
      <c r="Z25" s="306">
        <f t="shared" ref="Z25" si="46">SUM(Z18:Z24)</f>
        <v>81.149000000000001</v>
      </c>
      <c r="AA25" s="306">
        <f t="shared" ref="AA25" si="47">SUM(AA18:AA24)</f>
        <v>24.665000000000006</v>
      </c>
      <c r="AB25" s="101">
        <f t="shared" ref="AB25" si="48">SUM(AB18:AB24)</f>
        <v>168.49799999999999</v>
      </c>
      <c r="AC25" s="306">
        <f t="shared" ref="AC25" si="49">SUM(AC18:AC24)</f>
        <v>138.255</v>
      </c>
      <c r="AD25" s="306">
        <f t="shared" ref="AD25" si="50">SUM(AD18:AD24)</f>
        <v>-20.643269500669128</v>
      </c>
      <c r="AE25" s="306">
        <f t="shared" ref="AE25" si="51">SUM(AE18:AE24)</f>
        <v>-19.50279566446212</v>
      </c>
      <c r="AF25" s="306">
        <f t="shared" ref="AF25" si="52">SUM(AF18:AF24)</f>
        <v>-20.660387590176772</v>
      </c>
      <c r="AG25" s="101">
        <f t="shared" ref="AG25" si="53">SUM(AG18:AG24)</f>
        <v>77.448547244691966</v>
      </c>
      <c r="AH25" s="306">
        <f t="shared" ref="AH25" si="54">SUM(AH18:AH24)</f>
        <v>9.6042527599999925</v>
      </c>
      <c r="AI25" s="306">
        <f t="shared" ref="AI25" si="55">SUM(AI18:AI24)</f>
        <v>10.727077238929024</v>
      </c>
      <c r="AJ25" s="306">
        <f t="shared" ref="AJ25" si="56">SUM(AJ18:AJ24)</f>
        <v>1.2397153154302192</v>
      </c>
      <c r="AK25" s="306">
        <f t="shared" ref="AK25" si="57">SUM(AK18:AK24)</f>
        <v>0.88175604898309246</v>
      </c>
      <c r="AL25" s="101">
        <f t="shared" ref="AL25" si="58">SUM(AL18:AL24)</f>
        <v>22.452801363342324</v>
      </c>
    </row>
    <row r="26" spans="1:39" x14ac:dyDescent="0.35">
      <c r="B26" s="51"/>
      <c r="C26" s="53"/>
      <c r="D26" s="299"/>
      <c r="E26" s="299"/>
      <c r="F26" s="299"/>
      <c r="G26" s="299"/>
      <c r="H26" s="75"/>
      <c r="I26" s="51"/>
      <c r="J26" s="51"/>
      <c r="K26" s="51"/>
      <c r="L26" s="51"/>
      <c r="M26" s="75"/>
      <c r="N26" s="299"/>
      <c r="O26" s="299"/>
      <c r="P26" s="299"/>
      <c r="Q26" s="299"/>
      <c r="R26" s="20"/>
      <c r="S26" s="299"/>
      <c r="T26" s="299"/>
      <c r="U26" s="299"/>
      <c r="V26" s="299"/>
      <c r="W26" s="20"/>
      <c r="X26" s="299"/>
      <c r="Y26" s="299"/>
      <c r="Z26" s="299"/>
      <c r="AA26" s="299"/>
      <c r="AB26" s="20"/>
      <c r="AC26" s="299"/>
      <c r="AG26" s="20"/>
      <c r="AL26" s="20"/>
    </row>
    <row r="27" spans="1:39" x14ac:dyDescent="0.35">
      <c r="B27" s="158" t="s">
        <v>222</v>
      </c>
      <c r="C27" s="53"/>
      <c r="D27" s="299"/>
      <c r="E27" s="299"/>
      <c r="F27" s="299"/>
      <c r="G27" s="299"/>
      <c r="H27" s="20"/>
      <c r="M27" s="20"/>
      <c r="N27" s="299"/>
      <c r="O27" s="299"/>
      <c r="P27" s="299"/>
      <c r="Q27" s="299"/>
      <c r="R27" s="20"/>
      <c r="S27" s="299"/>
      <c r="T27" s="299"/>
      <c r="U27" s="299"/>
      <c r="V27" s="299"/>
      <c r="W27" s="20"/>
      <c r="X27" s="299"/>
      <c r="Y27" s="299"/>
      <c r="Z27" s="299"/>
      <c r="AA27" s="299"/>
      <c r="AB27" s="20"/>
      <c r="AC27" s="299"/>
      <c r="AG27" s="20"/>
      <c r="AL27" s="20"/>
    </row>
    <row r="28" spans="1:39" x14ac:dyDescent="0.35">
      <c r="B28" s="51" t="s">
        <v>209</v>
      </c>
      <c r="C28" s="53"/>
      <c r="D28" s="299">
        <v>0</v>
      </c>
      <c r="E28" s="299">
        <v>0</v>
      </c>
      <c r="F28" s="299">
        <v>0</v>
      </c>
      <c r="G28" s="299">
        <v>0</v>
      </c>
      <c r="H28" s="103">
        <f>SUM(D28:G28)</f>
        <v>0</v>
      </c>
      <c r="I28" s="302">
        <v>0</v>
      </c>
      <c r="J28" s="302">
        <f>278.317-78.757-I28</f>
        <v>199.56</v>
      </c>
      <c r="K28" s="302">
        <f>278.316-78.757-SUM(I28:J28)</f>
        <v>-1.0000000000331966E-3</v>
      </c>
      <c r="L28" s="302">
        <f>278.316-78.757-SUM(I28:K28)</f>
        <v>0</v>
      </c>
      <c r="M28" s="103">
        <f>SUM(I28:L28)</f>
        <v>199.55899999999997</v>
      </c>
      <c r="N28" s="299">
        <v>0</v>
      </c>
      <c r="O28" s="299">
        <v>0</v>
      </c>
      <c r="P28" s="299">
        <v>0</v>
      </c>
      <c r="Q28" s="299">
        <v>0</v>
      </c>
      <c r="R28" s="103">
        <f>SUM(N28:Q28)</f>
        <v>0</v>
      </c>
      <c r="S28" s="299">
        <v>0</v>
      </c>
      <c r="T28" s="299">
        <f>0-S28</f>
        <v>0</v>
      </c>
      <c r="U28" s="299">
        <f>0-T28-S28</f>
        <v>0</v>
      </c>
      <c r="V28" s="299">
        <v>0</v>
      </c>
      <c r="W28" s="103">
        <f>SUM(S28:V28)</f>
        <v>0</v>
      </c>
      <c r="X28" s="299">
        <v>0</v>
      </c>
      <c r="Y28" s="299">
        <f>0-X28</f>
        <v>0</v>
      </c>
      <c r="Z28" s="299">
        <f>0-Y28-X28</f>
        <v>0</v>
      </c>
      <c r="AA28" s="299">
        <f>0-Z28-Y28-X28</f>
        <v>0</v>
      </c>
      <c r="AB28" s="103">
        <f>SUM(X28:AA28)</f>
        <v>0</v>
      </c>
      <c r="AC28" s="299">
        <v>0</v>
      </c>
      <c r="AD28" s="305">
        <f>BS!AD26-BS!AC26+BS!AD31-BS!AC31</f>
        <v>0</v>
      </c>
      <c r="AE28" s="305">
        <f>BS!AE26-BS!AD26+BS!AE31-BS!AD31</f>
        <v>0</v>
      </c>
      <c r="AF28" s="305">
        <f>BS!AF26-BS!AE26+BS!AF31-BS!AE31</f>
        <v>0</v>
      </c>
      <c r="AG28" s="309">
        <f>SUM(AC28:AF28)</f>
        <v>0</v>
      </c>
      <c r="AH28" s="137">
        <f>BS!AH26-BS!AG26+BS!AH31-BS!AG31</f>
        <v>0</v>
      </c>
      <c r="AI28" s="137">
        <f>BS!AI26-BS!AH26+BS!AI31-BS!AH31</f>
        <v>0</v>
      </c>
      <c r="AJ28" s="137">
        <f>BS!AJ26-BS!AI26+BS!AJ31-BS!AI31</f>
        <v>0</v>
      </c>
      <c r="AK28" s="137">
        <f>BS!AK26-BS!AJ26+BS!AK31-BS!AJ31</f>
        <v>0</v>
      </c>
      <c r="AL28" s="131">
        <f>SUM(AH28:AK28)</f>
        <v>0</v>
      </c>
      <c r="AM28" s="137"/>
    </row>
    <row r="29" spans="1:39" x14ac:dyDescent="0.35">
      <c r="B29" s="51" t="s">
        <v>210</v>
      </c>
      <c r="C29" s="53"/>
      <c r="D29" s="299">
        <v>0</v>
      </c>
      <c r="E29" s="299">
        <v>0</v>
      </c>
      <c r="F29" s="299">
        <v>0</v>
      </c>
      <c r="G29" s="299">
        <v>0</v>
      </c>
      <c r="H29" s="103">
        <f t="shared" ref="H29:H35" si="59">SUM(D29:G29)</f>
        <v>0</v>
      </c>
      <c r="I29" s="302">
        <v>0</v>
      </c>
      <c r="J29" s="302">
        <v>0</v>
      </c>
      <c r="K29" s="302">
        <v>0</v>
      </c>
      <c r="L29" s="302">
        <v>0</v>
      </c>
      <c r="M29" s="103">
        <f t="shared" ref="M29:M35" si="60">SUM(I29:L29)</f>
        <v>0</v>
      </c>
      <c r="N29" s="299">
        <v>0</v>
      </c>
      <c r="O29" s="299">
        <v>0</v>
      </c>
      <c r="P29" s="299">
        <v>0</v>
      </c>
      <c r="Q29" s="299">
        <v>0</v>
      </c>
      <c r="R29" s="103">
        <f t="shared" ref="R29:R35" si="61">SUM(N29:Q29)</f>
        <v>0</v>
      </c>
      <c r="S29" s="299">
        <v>0</v>
      </c>
      <c r="T29" s="299">
        <f>0-S29</f>
        <v>0</v>
      </c>
      <c r="U29" s="299">
        <f>0-T29-S29</f>
        <v>0</v>
      </c>
      <c r="V29" s="299">
        <f>0-U29-T29-S29</f>
        <v>0</v>
      </c>
      <c r="W29" s="103">
        <f t="shared" ref="W29:W35" si="62">SUM(S29:V29)</f>
        <v>0</v>
      </c>
      <c r="X29" s="299">
        <v>0</v>
      </c>
      <c r="Y29" s="299">
        <v>0</v>
      </c>
      <c r="Z29" s="299">
        <v>0</v>
      </c>
      <c r="AA29" s="299">
        <f>0-Z29-Y29-X29</f>
        <v>0</v>
      </c>
      <c r="AB29" s="103">
        <f t="shared" ref="AB29:AB35" si="63">SUM(X29:AA29)</f>
        <v>0</v>
      </c>
      <c r="AC29" s="299">
        <v>0</v>
      </c>
      <c r="AD29" s="236">
        <f t="shared" ref="AD29:AF30" si="64">AC29</f>
        <v>0</v>
      </c>
      <c r="AE29" s="236">
        <f t="shared" si="64"/>
        <v>0</v>
      </c>
      <c r="AF29" s="236">
        <f t="shared" si="64"/>
        <v>0</v>
      </c>
      <c r="AG29" s="103">
        <f t="shared" ref="AG29:AG35" si="65">SUM(AC29:AF29)</f>
        <v>0</v>
      </c>
      <c r="AH29" s="236">
        <f>AF29</f>
        <v>0</v>
      </c>
      <c r="AI29" s="236">
        <f t="shared" ref="AI29:AK30" si="66">AH29</f>
        <v>0</v>
      </c>
      <c r="AJ29" s="236">
        <f t="shared" si="66"/>
        <v>0</v>
      </c>
      <c r="AK29" s="236">
        <f t="shared" si="66"/>
        <v>0</v>
      </c>
      <c r="AL29" s="103">
        <f t="shared" ref="AL29:AL35" si="67">SUM(AH29:AK29)</f>
        <v>0</v>
      </c>
    </row>
    <row r="30" spans="1:39" x14ac:dyDescent="0.35">
      <c r="B30" s="51" t="s">
        <v>211</v>
      </c>
      <c r="C30" s="53"/>
      <c r="D30" s="299">
        <v>2.5779999999999998</v>
      </c>
      <c r="E30" s="299">
        <f>5.983+107.595-D30</f>
        <v>111</v>
      </c>
      <c r="F30" s="299">
        <f>107.595+10.416-SUM(D30:E30)</f>
        <v>4.4329999999999927</v>
      </c>
      <c r="G30" s="299">
        <f>323.41+13.041-SUM(D30:F30)</f>
        <v>218.44000000000003</v>
      </c>
      <c r="H30" s="103">
        <f t="shared" si="59"/>
        <v>336.45100000000002</v>
      </c>
      <c r="I30" s="302">
        <v>3.8260000000000001</v>
      </c>
      <c r="J30" s="302">
        <f>10.808-I30</f>
        <v>6.9819999999999993</v>
      </c>
      <c r="K30" s="302">
        <f>270.65+15.782-SUM(I30:J30)</f>
        <v>275.62399999999997</v>
      </c>
      <c r="L30" s="302">
        <f>270.65+23.524-SUM(I30:K30)</f>
        <v>7.7420000000000186</v>
      </c>
      <c r="M30" s="103">
        <f t="shared" si="60"/>
        <v>294.17399999999998</v>
      </c>
      <c r="N30" s="299">
        <v>4.57</v>
      </c>
      <c r="O30" s="299">
        <f>6.829-N30</f>
        <v>2.2589999999999995</v>
      </c>
      <c r="P30" s="299">
        <f>10.774+550.814-O30-N30</f>
        <v>554.7589999999999</v>
      </c>
      <c r="Q30" s="299">
        <f>550.822+11.816-P30-O30-N30</f>
        <v>1.050000000000133</v>
      </c>
      <c r="R30" s="103">
        <f t="shared" si="61"/>
        <v>562.63800000000003</v>
      </c>
      <c r="S30" s="299">
        <v>0</v>
      </c>
      <c r="T30" s="299">
        <f>0-S30</f>
        <v>0</v>
      </c>
      <c r="U30" s="299">
        <f>0-T30-S30</f>
        <v>0</v>
      </c>
      <c r="V30" s="299">
        <f>433.192-U30-T30-S30</f>
        <v>433.19200000000001</v>
      </c>
      <c r="W30" s="103">
        <f t="shared" si="62"/>
        <v>433.19200000000001</v>
      </c>
      <c r="X30" s="299">
        <v>0</v>
      </c>
      <c r="Y30" s="299">
        <v>0</v>
      </c>
      <c r="Z30" s="299">
        <f>235.441-Y30-X30</f>
        <v>235.441</v>
      </c>
      <c r="AA30" s="299">
        <f>235.441-Z30-Y30-X30</f>
        <v>0</v>
      </c>
      <c r="AB30" s="103">
        <f t="shared" si="63"/>
        <v>235.441</v>
      </c>
      <c r="AC30" s="299">
        <v>0</v>
      </c>
      <c r="AD30" s="236">
        <f t="shared" si="64"/>
        <v>0</v>
      </c>
      <c r="AE30" s="236">
        <f t="shared" si="64"/>
        <v>0</v>
      </c>
      <c r="AF30" s="236">
        <f t="shared" si="64"/>
        <v>0</v>
      </c>
      <c r="AG30" s="103">
        <f t="shared" si="65"/>
        <v>0</v>
      </c>
      <c r="AH30" s="236">
        <f>AF30</f>
        <v>0</v>
      </c>
      <c r="AI30" s="236">
        <f t="shared" si="66"/>
        <v>0</v>
      </c>
      <c r="AJ30" s="236">
        <f t="shared" si="66"/>
        <v>0</v>
      </c>
      <c r="AK30" s="236">
        <f t="shared" si="66"/>
        <v>0</v>
      </c>
      <c r="AL30" s="103">
        <f t="shared" si="67"/>
        <v>0</v>
      </c>
    </row>
    <row r="31" spans="1:39" x14ac:dyDescent="0.35">
      <c r="B31" s="51" t="s">
        <v>212</v>
      </c>
      <c r="C31" s="53"/>
      <c r="D31" s="299">
        <v>0</v>
      </c>
      <c r="E31" s="299">
        <v>2.1469999999999998</v>
      </c>
      <c r="F31" s="299">
        <v>0</v>
      </c>
      <c r="G31" s="299">
        <f>4.323-SUM(D31:F31)</f>
        <v>2.1760000000000006</v>
      </c>
      <c r="H31" s="103">
        <f t="shared" si="59"/>
        <v>4.3230000000000004</v>
      </c>
      <c r="I31" s="302">
        <v>0</v>
      </c>
      <c r="J31" s="302">
        <v>3.0619999999999998</v>
      </c>
      <c r="K31" s="302">
        <f>3.062-SUM(I31:J31)</f>
        <v>0</v>
      </c>
      <c r="L31" s="302">
        <f>7.114-SUM(I31:K31)</f>
        <v>4.0519999999999996</v>
      </c>
      <c r="M31" s="103">
        <f t="shared" si="60"/>
        <v>7.113999999999999</v>
      </c>
      <c r="N31" s="299">
        <v>0</v>
      </c>
      <c r="O31" s="299">
        <f>6.085-N31</f>
        <v>6.085</v>
      </c>
      <c r="P31" s="299">
        <f>6.085-O31-N31</f>
        <v>0</v>
      </c>
      <c r="Q31" s="299">
        <f>13.55-P31-O31-N31</f>
        <v>7.4650000000000007</v>
      </c>
      <c r="R31" s="103">
        <f t="shared" si="61"/>
        <v>13.55</v>
      </c>
      <c r="S31" s="299">
        <v>4.1559999999999997</v>
      </c>
      <c r="T31" s="299">
        <f>8.496-S31</f>
        <v>4.3400000000000007</v>
      </c>
      <c r="U31" s="299">
        <f>8.496-T31-S31</f>
        <v>0</v>
      </c>
      <c r="V31" s="299">
        <f>13.037-U31-T31-S31</f>
        <v>4.5409999999999995</v>
      </c>
      <c r="W31" s="103">
        <f t="shared" si="62"/>
        <v>13.036999999999999</v>
      </c>
      <c r="X31" s="299">
        <v>0</v>
      </c>
      <c r="Y31" s="299">
        <f>8.674-X31</f>
        <v>8.6739999999999995</v>
      </c>
      <c r="Z31" s="299">
        <f>8.674-Y31-X31</f>
        <v>0</v>
      </c>
      <c r="AA31" s="299">
        <f>15.128-Z31-Y31-X31</f>
        <v>6.4540000000000006</v>
      </c>
      <c r="AB31" s="103">
        <f t="shared" si="63"/>
        <v>15.128</v>
      </c>
      <c r="AC31" s="299">
        <v>6.4660000000000002</v>
      </c>
      <c r="AD31" s="236">
        <v>0</v>
      </c>
      <c r="AE31" s="236">
        <f t="shared" ref="AE31:AF35" si="68">AD31</f>
        <v>0</v>
      </c>
      <c r="AF31" s="236">
        <f t="shared" si="68"/>
        <v>0</v>
      </c>
      <c r="AG31" s="103">
        <f t="shared" si="65"/>
        <v>6.4660000000000002</v>
      </c>
      <c r="AH31" s="102">
        <v>12</v>
      </c>
      <c r="AI31" s="102">
        <v>3</v>
      </c>
      <c r="AJ31" s="236">
        <f t="shared" ref="AJ31:AK35" si="69">AI31</f>
        <v>3</v>
      </c>
      <c r="AK31" s="236">
        <f t="shared" si="69"/>
        <v>3</v>
      </c>
      <c r="AL31" s="103">
        <f t="shared" si="67"/>
        <v>21</v>
      </c>
    </row>
    <row r="32" spans="1:39" x14ac:dyDescent="0.35">
      <c r="B32" s="51" t="s">
        <v>213</v>
      </c>
      <c r="C32" s="53"/>
      <c r="D32" s="299">
        <v>0</v>
      </c>
      <c r="E32" s="299">
        <v>0</v>
      </c>
      <c r="F32" s="299">
        <v>0</v>
      </c>
      <c r="G32" s="299">
        <v>0</v>
      </c>
      <c r="H32" s="103">
        <f t="shared" si="59"/>
        <v>0</v>
      </c>
      <c r="I32" s="302">
        <v>0</v>
      </c>
      <c r="J32" s="302">
        <v>0</v>
      </c>
      <c r="K32" s="302">
        <v>0</v>
      </c>
      <c r="L32" s="302">
        <v>0</v>
      </c>
      <c r="M32" s="103">
        <f t="shared" si="60"/>
        <v>0</v>
      </c>
      <c r="N32" s="299">
        <v>0</v>
      </c>
      <c r="O32" s="299">
        <v>0</v>
      </c>
      <c r="P32" s="299">
        <v>0</v>
      </c>
      <c r="Q32" s="299">
        <v>0</v>
      </c>
      <c r="R32" s="103">
        <f t="shared" si="61"/>
        <v>0</v>
      </c>
      <c r="S32" s="299">
        <v>0</v>
      </c>
      <c r="T32" s="299">
        <f>0-S32</f>
        <v>0</v>
      </c>
      <c r="U32" s="299">
        <f>0-T32-S32</f>
        <v>0</v>
      </c>
      <c r="V32" s="299">
        <f>0-U32-T32-S32</f>
        <v>0</v>
      </c>
      <c r="W32" s="103">
        <f t="shared" si="62"/>
        <v>0</v>
      </c>
      <c r="X32" s="299">
        <v>0</v>
      </c>
      <c r="Y32" s="299">
        <v>0</v>
      </c>
      <c r="Z32" s="299">
        <v>0</v>
      </c>
      <c r="AA32" s="299">
        <v>0</v>
      </c>
      <c r="AB32" s="103">
        <f t="shared" si="63"/>
        <v>0</v>
      </c>
      <c r="AC32" s="299">
        <v>0</v>
      </c>
      <c r="AD32" s="236">
        <f>AC32</f>
        <v>0</v>
      </c>
      <c r="AE32" s="236">
        <f t="shared" si="68"/>
        <v>0</v>
      </c>
      <c r="AF32" s="236">
        <f t="shared" si="68"/>
        <v>0</v>
      </c>
      <c r="AG32" s="103">
        <f t="shared" si="65"/>
        <v>0</v>
      </c>
      <c r="AH32" s="236">
        <f>AF32</f>
        <v>0</v>
      </c>
      <c r="AI32" s="236">
        <f>AH32</f>
        <v>0</v>
      </c>
      <c r="AJ32" s="236">
        <f t="shared" si="69"/>
        <v>0</v>
      </c>
      <c r="AK32" s="236">
        <f t="shared" si="69"/>
        <v>0</v>
      </c>
      <c r="AL32" s="103">
        <f t="shared" si="67"/>
        <v>0</v>
      </c>
    </row>
    <row r="33" spans="1:38" x14ac:dyDescent="0.35">
      <c r="B33" s="51" t="s">
        <v>214</v>
      </c>
      <c r="C33" s="53"/>
      <c r="D33" s="299">
        <v>0</v>
      </c>
      <c r="E33" s="299">
        <v>0</v>
      </c>
      <c r="F33" s="299">
        <v>0</v>
      </c>
      <c r="G33" s="299">
        <v>0</v>
      </c>
      <c r="H33" s="103">
        <f t="shared" si="59"/>
        <v>0</v>
      </c>
      <c r="I33" s="302">
        <v>0</v>
      </c>
      <c r="J33" s="302">
        <v>0</v>
      </c>
      <c r="K33" s="302">
        <v>0</v>
      </c>
      <c r="L33" s="302">
        <v>0</v>
      </c>
      <c r="M33" s="103">
        <f t="shared" si="60"/>
        <v>0</v>
      </c>
      <c r="N33" s="299">
        <v>0</v>
      </c>
      <c r="O33" s="299">
        <v>0</v>
      </c>
      <c r="P33" s="299">
        <v>0</v>
      </c>
      <c r="Q33" s="299">
        <v>0</v>
      </c>
      <c r="R33" s="103">
        <f t="shared" si="61"/>
        <v>0</v>
      </c>
      <c r="S33" s="299">
        <v>0</v>
      </c>
      <c r="T33" s="299">
        <f>0-S33</f>
        <v>0</v>
      </c>
      <c r="U33" s="299">
        <f>0-T33-S33</f>
        <v>0</v>
      </c>
      <c r="V33" s="299">
        <f>0-U33-T33-S33</f>
        <v>0</v>
      </c>
      <c r="W33" s="103">
        <f t="shared" si="62"/>
        <v>0</v>
      </c>
      <c r="X33" s="299">
        <v>0</v>
      </c>
      <c r="Y33" s="299">
        <v>0</v>
      </c>
      <c r="Z33" s="299">
        <v>0</v>
      </c>
      <c r="AA33" s="299">
        <v>0</v>
      </c>
      <c r="AB33" s="103">
        <f t="shared" si="63"/>
        <v>0</v>
      </c>
      <c r="AC33" s="299">
        <v>0</v>
      </c>
      <c r="AD33" s="236">
        <f>AC33</f>
        <v>0</v>
      </c>
      <c r="AE33" s="236">
        <f t="shared" si="68"/>
        <v>0</v>
      </c>
      <c r="AF33" s="236">
        <f t="shared" si="68"/>
        <v>0</v>
      </c>
      <c r="AG33" s="103">
        <f t="shared" si="65"/>
        <v>0</v>
      </c>
      <c r="AH33" s="236">
        <f>AF33</f>
        <v>0</v>
      </c>
      <c r="AI33" s="236">
        <f>AH33</f>
        <v>0</v>
      </c>
      <c r="AJ33" s="236">
        <f t="shared" si="69"/>
        <v>0</v>
      </c>
      <c r="AK33" s="236">
        <f t="shared" si="69"/>
        <v>0</v>
      </c>
      <c r="AL33" s="103">
        <f t="shared" si="67"/>
        <v>0</v>
      </c>
    </row>
    <row r="34" spans="1:38" x14ac:dyDescent="0.35">
      <c r="B34" s="51" t="s">
        <v>215</v>
      </c>
      <c r="C34" s="53"/>
      <c r="D34" s="299">
        <v>0</v>
      </c>
      <c r="E34" s="299">
        <v>0</v>
      </c>
      <c r="F34" s="299">
        <v>0</v>
      </c>
      <c r="G34" s="299">
        <v>0</v>
      </c>
      <c r="H34" s="103">
        <f t="shared" si="59"/>
        <v>0</v>
      </c>
      <c r="I34" s="302">
        <v>0</v>
      </c>
      <c r="J34" s="302">
        <v>0</v>
      </c>
      <c r="K34" s="302">
        <v>0</v>
      </c>
      <c r="L34" s="302">
        <v>0</v>
      </c>
      <c r="M34" s="103">
        <f t="shared" si="60"/>
        <v>0</v>
      </c>
      <c r="N34" s="299">
        <v>0</v>
      </c>
      <c r="O34" s="299">
        <v>0</v>
      </c>
      <c r="P34" s="299">
        <v>0</v>
      </c>
      <c r="Q34" s="299">
        <v>0</v>
      </c>
      <c r="R34" s="103">
        <f t="shared" si="61"/>
        <v>0</v>
      </c>
      <c r="S34" s="299">
        <v>0</v>
      </c>
      <c r="T34" s="299">
        <f>0-S34</f>
        <v>0</v>
      </c>
      <c r="U34" s="299">
        <f>0-T34-S34</f>
        <v>0</v>
      </c>
      <c r="V34" s="299">
        <f>0-U34-T34-S34</f>
        <v>0</v>
      </c>
      <c r="W34" s="103">
        <f t="shared" si="62"/>
        <v>0</v>
      </c>
      <c r="X34" s="299">
        <v>0</v>
      </c>
      <c r="Y34" s="299">
        <v>0</v>
      </c>
      <c r="Z34" s="299">
        <v>0</v>
      </c>
      <c r="AA34" s="299">
        <v>0</v>
      </c>
      <c r="AB34" s="103">
        <f t="shared" si="63"/>
        <v>0</v>
      </c>
      <c r="AC34" s="299">
        <v>0</v>
      </c>
      <c r="AD34" s="236">
        <f>AC34</f>
        <v>0</v>
      </c>
      <c r="AE34" s="236">
        <f t="shared" si="68"/>
        <v>0</v>
      </c>
      <c r="AF34" s="236">
        <f t="shared" si="68"/>
        <v>0</v>
      </c>
      <c r="AG34" s="103">
        <f t="shared" si="65"/>
        <v>0</v>
      </c>
      <c r="AH34" s="236">
        <f>AF34</f>
        <v>0</v>
      </c>
      <c r="AI34" s="236">
        <f>AH34</f>
        <v>0</v>
      </c>
      <c r="AJ34" s="236">
        <f t="shared" si="69"/>
        <v>0</v>
      </c>
      <c r="AK34" s="236">
        <f t="shared" si="69"/>
        <v>0</v>
      </c>
      <c r="AL34" s="103">
        <f t="shared" si="67"/>
        <v>0</v>
      </c>
    </row>
    <row r="35" spans="1:38" x14ac:dyDescent="0.35">
      <c r="B35" s="51" t="s">
        <v>207</v>
      </c>
      <c r="C35" s="53"/>
      <c r="D35" s="299">
        <v>0</v>
      </c>
      <c r="E35" s="299">
        <v>0</v>
      </c>
      <c r="F35" s="299">
        <v>0</v>
      </c>
      <c r="G35" s="299">
        <v>0</v>
      </c>
      <c r="H35" s="103">
        <f t="shared" si="59"/>
        <v>0</v>
      </c>
      <c r="I35" s="302">
        <v>0</v>
      </c>
      <c r="J35" s="302">
        <v>0</v>
      </c>
      <c r="K35" s="302">
        <v>0</v>
      </c>
      <c r="L35" s="302">
        <v>0</v>
      </c>
      <c r="M35" s="103">
        <f t="shared" si="60"/>
        <v>0</v>
      </c>
      <c r="N35" s="299">
        <v>0</v>
      </c>
      <c r="O35" s="299">
        <v>0</v>
      </c>
      <c r="P35" s="299">
        <v>0</v>
      </c>
      <c r="Q35" s="299">
        <v>0</v>
      </c>
      <c r="R35" s="103">
        <f t="shared" si="61"/>
        <v>0</v>
      </c>
      <c r="S35" s="299">
        <v>0</v>
      </c>
      <c r="T35" s="299">
        <f>4.578-S35</f>
        <v>4.5780000000000003</v>
      </c>
      <c r="U35" s="299">
        <f>5.971-T35-S35</f>
        <v>1.3929999999999998</v>
      </c>
      <c r="V35" s="299">
        <f>6.411+30-U35-T35-S35</f>
        <v>30.44</v>
      </c>
      <c r="W35" s="103">
        <f t="shared" si="62"/>
        <v>36.411000000000001</v>
      </c>
      <c r="X35" s="299">
        <v>2.3010000000000002</v>
      </c>
      <c r="Y35" s="299">
        <f>2.939-X35</f>
        <v>0.6379999999999999</v>
      </c>
      <c r="Z35" s="299">
        <f>3.501-Y35-X35</f>
        <v>0.56199999999999983</v>
      </c>
      <c r="AA35" s="299">
        <f>3.892-Z35-Y35-X35</f>
        <v>0.39100000000000001</v>
      </c>
      <c r="AB35" s="103">
        <f t="shared" si="63"/>
        <v>3.8919999999999999</v>
      </c>
      <c r="AC35" s="299">
        <v>0</v>
      </c>
      <c r="AD35" s="236">
        <f>AC35</f>
        <v>0</v>
      </c>
      <c r="AE35" s="236">
        <f t="shared" si="68"/>
        <v>0</v>
      </c>
      <c r="AF35" s="236">
        <f t="shared" si="68"/>
        <v>0</v>
      </c>
      <c r="AG35" s="103">
        <f t="shared" si="65"/>
        <v>0</v>
      </c>
      <c r="AH35" s="236">
        <f>AF35</f>
        <v>0</v>
      </c>
      <c r="AI35" s="236">
        <f>AH35</f>
        <v>0</v>
      </c>
      <c r="AJ35" s="236">
        <f t="shared" si="69"/>
        <v>0</v>
      </c>
      <c r="AK35" s="236">
        <f t="shared" si="69"/>
        <v>0</v>
      </c>
      <c r="AL35" s="103">
        <f t="shared" si="67"/>
        <v>0</v>
      </c>
    </row>
    <row r="36" spans="1:38" s="19" customFormat="1" ht="13.9" x14ac:dyDescent="0.4">
      <c r="A36" s="52" t="s">
        <v>36</v>
      </c>
      <c r="B36" s="52" t="s">
        <v>216</v>
      </c>
      <c r="C36" s="76"/>
      <c r="D36" s="300">
        <f>SUM(D28:D35)</f>
        <v>2.5779999999999998</v>
      </c>
      <c r="E36" s="300">
        <f t="shared" ref="E36:G36" si="70">SUM(E28:E35)</f>
        <v>113.14700000000001</v>
      </c>
      <c r="F36" s="300">
        <f t="shared" si="70"/>
        <v>4.4329999999999927</v>
      </c>
      <c r="G36" s="300">
        <f t="shared" si="70"/>
        <v>220.61600000000001</v>
      </c>
      <c r="H36" s="101">
        <f>SUM(H28:H35)</f>
        <v>340.774</v>
      </c>
      <c r="I36" s="300">
        <f t="shared" ref="I36" si="71">SUM(I28:I35)</f>
        <v>3.8260000000000001</v>
      </c>
      <c r="J36" s="300">
        <f t="shared" ref="J36" si="72">SUM(J28:J35)</f>
        <v>209.60400000000001</v>
      </c>
      <c r="K36" s="300">
        <f t="shared" ref="K36" si="73">SUM(K28:K35)</f>
        <v>275.62299999999993</v>
      </c>
      <c r="L36" s="300">
        <f t="shared" ref="L36:N36" si="74">SUM(L28:L35)</f>
        <v>11.794000000000018</v>
      </c>
      <c r="M36" s="101">
        <f t="shared" si="74"/>
        <v>500.84699999999992</v>
      </c>
      <c r="N36" s="300">
        <f t="shared" si="74"/>
        <v>4.57</v>
      </c>
      <c r="O36" s="300">
        <f t="shared" ref="O36" si="75">SUM(O28:O35)</f>
        <v>8.3439999999999994</v>
      </c>
      <c r="P36" s="300">
        <f t="shared" ref="P36" si="76">SUM(P28:P35)</f>
        <v>554.7589999999999</v>
      </c>
      <c r="Q36" s="300">
        <f t="shared" ref="Q36:S36" si="77">SUM(Q28:Q35)</f>
        <v>8.5150000000001338</v>
      </c>
      <c r="R36" s="101">
        <f t="shared" si="77"/>
        <v>576.18799999999999</v>
      </c>
      <c r="S36" s="300">
        <f t="shared" si="77"/>
        <v>4.1559999999999997</v>
      </c>
      <c r="T36" s="300">
        <f t="shared" ref="T36" si="78">SUM(T28:T35)</f>
        <v>8.918000000000001</v>
      </c>
      <c r="U36" s="300">
        <f t="shared" ref="U36" si="79">SUM(U28:U35)</f>
        <v>1.3929999999999998</v>
      </c>
      <c r="V36" s="300">
        <f t="shared" ref="V36:W36" si="80">SUM(V28:V35)</f>
        <v>468.173</v>
      </c>
      <c r="W36" s="101">
        <f t="shared" si="80"/>
        <v>482.64</v>
      </c>
      <c r="X36" s="300">
        <f t="shared" ref="X36" si="81">SUM(X28:X35)</f>
        <v>2.3010000000000002</v>
      </c>
      <c r="Y36" s="300">
        <f t="shared" ref="Y36" si="82">SUM(Y28:Y35)</f>
        <v>9.3119999999999994</v>
      </c>
      <c r="Z36" s="300">
        <f t="shared" ref="Z36" si="83">SUM(Z28:Z35)</f>
        <v>236.00300000000001</v>
      </c>
      <c r="AA36" s="300">
        <f t="shared" ref="AA36" si="84">SUM(AA28:AA35)</f>
        <v>6.8450000000000006</v>
      </c>
      <c r="AB36" s="101">
        <f t="shared" ref="AB36" si="85">SUM(AB28:AB35)</f>
        <v>254.46100000000001</v>
      </c>
      <c r="AC36" s="300">
        <f t="shared" ref="AC36" si="86">SUM(AC28:AC35)</f>
        <v>6.4660000000000002</v>
      </c>
      <c r="AD36" s="300">
        <f t="shared" ref="AD36" si="87">SUM(AD28:AD35)</f>
        <v>0</v>
      </c>
      <c r="AE36" s="300">
        <f t="shared" ref="AE36" si="88">SUM(AE28:AE35)</f>
        <v>0</v>
      </c>
      <c r="AF36" s="300">
        <f t="shared" ref="AF36" si="89">SUM(AF28:AF35)</f>
        <v>0</v>
      </c>
      <c r="AG36" s="101">
        <f t="shared" ref="AG36" si="90">SUM(AG28:AG35)</f>
        <v>6.4660000000000002</v>
      </c>
      <c r="AH36" s="300">
        <f t="shared" ref="AH36" si="91">SUM(AH28:AH35)</f>
        <v>12</v>
      </c>
      <c r="AI36" s="300">
        <f t="shared" ref="AI36" si="92">SUM(AI28:AI35)</f>
        <v>3</v>
      </c>
      <c r="AJ36" s="300">
        <f t="shared" ref="AJ36" si="93">SUM(AJ28:AJ35)</f>
        <v>3</v>
      </c>
      <c r="AK36" s="300">
        <f t="shared" ref="AK36:AL36" si="94">SUM(AK28:AK35)</f>
        <v>3</v>
      </c>
      <c r="AL36" s="101">
        <f t="shared" si="94"/>
        <v>21</v>
      </c>
    </row>
    <row r="37" spans="1:38" x14ac:dyDescent="0.35">
      <c r="B37" s="51"/>
      <c r="C37" s="53"/>
      <c r="D37" s="299"/>
      <c r="E37" s="299"/>
      <c r="F37" s="299"/>
      <c r="G37" s="299"/>
      <c r="H37" s="20"/>
      <c r="M37" s="20"/>
      <c r="R37" s="20"/>
      <c r="W37" s="20"/>
      <c r="X37" s="299"/>
      <c r="Y37" s="299"/>
      <c r="Z37" s="299"/>
      <c r="AA37" s="299"/>
      <c r="AB37" s="20"/>
      <c r="AC37" s="299"/>
      <c r="AG37" s="20"/>
      <c r="AL37" s="20"/>
    </row>
    <row r="38" spans="1:38" x14ac:dyDescent="0.35">
      <c r="B38" s="51" t="s">
        <v>217</v>
      </c>
      <c r="C38" s="53"/>
      <c r="D38" s="179">
        <v>0</v>
      </c>
      <c r="E38" s="179">
        <v>0</v>
      </c>
      <c r="F38" s="179">
        <v>0</v>
      </c>
      <c r="G38" s="179">
        <v>0</v>
      </c>
      <c r="H38" s="75">
        <f>SUM(D38:G38)</f>
        <v>0</v>
      </c>
      <c r="I38" s="299">
        <v>0</v>
      </c>
      <c r="J38" s="299">
        <v>0</v>
      </c>
      <c r="K38" s="299">
        <v>0</v>
      </c>
      <c r="L38" s="299">
        <v>0</v>
      </c>
      <c r="M38" s="75">
        <f>SUM(I38:L38)</f>
        <v>0</v>
      </c>
      <c r="N38" s="299">
        <v>0</v>
      </c>
      <c r="O38" s="299">
        <v>0</v>
      </c>
      <c r="P38" s="299">
        <v>0</v>
      </c>
      <c r="Q38" s="299">
        <v>0</v>
      </c>
      <c r="R38" s="75">
        <f>SUM(N38:Q38)</f>
        <v>0</v>
      </c>
      <c r="S38" s="299">
        <v>0</v>
      </c>
      <c r="T38" s="299">
        <v>0</v>
      </c>
      <c r="U38" s="299">
        <v>0</v>
      </c>
      <c r="V38" s="299">
        <v>0</v>
      </c>
      <c r="W38" s="75">
        <f>SUM(S38:V38)</f>
        <v>0</v>
      </c>
      <c r="X38" s="299">
        <v>0</v>
      </c>
      <c r="Y38" s="299">
        <v>0</v>
      </c>
      <c r="Z38" s="299">
        <v>0</v>
      </c>
      <c r="AA38" s="299">
        <v>0</v>
      </c>
      <c r="AB38" s="75">
        <f>SUM(X38:AA38)</f>
        <v>0</v>
      </c>
      <c r="AC38" s="299">
        <v>0</v>
      </c>
      <c r="AD38" s="299">
        <f t="shared" ref="AD38:AF39" si="95">AC38</f>
        <v>0</v>
      </c>
      <c r="AE38" s="299">
        <f t="shared" si="95"/>
        <v>0</v>
      </c>
      <c r="AF38" s="299">
        <f t="shared" si="95"/>
        <v>0</v>
      </c>
      <c r="AG38" s="75">
        <f>SUM(AC38:AF38)</f>
        <v>0</v>
      </c>
      <c r="AH38" s="299">
        <v>0</v>
      </c>
      <c r="AI38" s="299">
        <f t="shared" ref="AI38:AK39" si="96">AH38</f>
        <v>0</v>
      </c>
      <c r="AJ38" s="299">
        <f t="shared" si="96"/>
        <v>0</v>
      </c>
      <c r="AK38" s="299">
        <f t="shared" si="96"/>
        <v>0</v>
      </c>
      <c r="AL38" s="75">
        <f>SUM(AH38:AK38)</f>
        <v>0</v>
      </c>
    </row>
    <row r="39" spans="1:38" x14ac:dyDescent="0.35">
      <c r="B39" s="51" t="s">
        <v>218</v>
      </c>
      <c r="C39" s="53"/>
      <c r="D39" s="179">
        <v>0</v>
      </c>
      <c r="E39" s="179">
        <v>0</v>
      </c>
      <c r="F39" s="179">
        <v>0</v>
      </c>
      <c r="G39" s="179">
        <v>0</v>
      </c>
      <c r="H39" s="75">
        <f>SUM(D39:G39)</f>
        <v>0</v>
      </c>
      <c r="I39" s="299">
        <v>0</v>
      </c>
      <c r="J39" s="299">
        <v>0</v>
      </c>
      <c r="K39" s="299">
        <v>0</v>
      </c>
      <c r="L39" s="299">
        <v>0</v>
      </c>
      <c r="M39" s="75">
        <f>SUM(I39:L39)</f>
        <v>0</v>
      </c>
      <c r="N39" s="299">
        <v>0</v>
      </c>
      <c r="O39" s="299">
        <v>0</v>
      </c>
      <c r="P39" s="299">
        <v>0</v>
      </c>
      <c r="Q39" s="299">
        <v>0</v>
      </c>
      <c r="R39" s="75">
        <f t="shared" ref="R39:R40" si="97">SUM(N39:Q39)</f>
        <v>0</v>
      </c>
      <c r="S39" s="299">
        <v>0</v>
      </c>
      <c r="T39" s="299">
        <v>0</v>
      </c>
      <c r="U39" s="299">
        <v>0</v>
      </c>
      <c r="V39" s="299">
        <v>0</v>
      </c>
      <c r="W39" s="75">
        <f>SUM(S39:V39)</f>
        <v>0</v>
      </c>
      <c r="X39" s="299">
        <v>0</v>
      </c>
      <c r="Y39" s="299">
        <v>0</v>
      </c>
      <c r="Z39" s="299">
        <v>0</v>
      </c>
      <c r="AA39" s="299">
        <v>0</v>
      </c>
      <c r="AB39" s="75">
        <f>SUM(X39:AA39)</f>
        <v>0</v>
      </c>
      <c r="AC39" s="299">
        <v>0</v>
      </c>
      <c r="AD39" s="299">
        <f t="shared" si="95"/>
        <v>0</v>
      </c>
      <c r="AE39" s="299">
        <f t="shared" si="95"/>
        <v>0</v>
      </c>
      <c r="AF39" s="299">
        <f t="shared" si="95"/>
        <v>0</v>
      </c>
      <c r="AG39" s="75">
        <f>SUM(AC39:AF39)</f>
        <v>0</v>
      </c>
      <c r="AH39" s="299">
        <v>0</v>
      </c>
      <c r="AI39" s="299">
        <f t="shared" si="96"/>
        <v>0</v>
      </c>
      <c r="AJ39" s="299">
        <f t="shared" si="96"/>
        <v>0</v>
      </c>
      <c r="AK39" s="299">
        <f t="shared" si="96"/>
        <v>0</v>
      </c>
      <c r="AL39" s="75">
        <f>SUM(AH39:AK39)</f>
        <v>0</v>
      </c>
    </row>
    <row r="40" spans="1:38" x14ac:dyDescent="0.35">
      <c r="B40" s="51" t="s">
        <v>207</v>
      </c>
      <c r="C40" s="53"/>
      <c r="D40" s="179">
        <v>4.2</v>
      </c>
      <c r="E40" s="179">
        <v>0.3</v>
      </c>
      <c r="F40" s="179">
        <v>0</v>
      </c>
      <c r="G40" s="179">
        <v>0</v>
      </c>
      <c r="H40" s="75">
        <f>SUM(D40:G40)</f>
        <v>4.5</v>
      </c>
      <c r="I40" s="293">
        <f>BS!I9-BS!J9</f>
        <v>0</v>
      </c>
      <c r="J40" s="293">
        <f>BS!J9-BS!K9</f>
        <v>-0.123</v>
      </c>
      <c r="K40" s="293">
        <f>BS!K9-BS!L9</f>
        <v>-9.000000000000008E-3</v>
      </c>
      <c r="L40" s="293">
        <f>BS!L9-BS!M9</f>
        <v>0</v>
      </c>
      <c r="M40" s="103">
        <f>SUM(I40:L40)</f>
        <v>-0.13200000000000001</v>
      </c>
      <c r="N40" s="293">
        <f>BS!M9-BS!N9</f>
        <v>2.3999999999999994E-2</v>
      </c>
      <c r="O40" s="293">
        <f>BS!N9-BS!O9</f>
        <v>-6.5000000000000002E-2</v>
      </c>
      <c r="P40" s="293">
        <f>BS!O9-BS!P9</f>
        <v>0</v>
      </c>
      <c r="Q40" s="293">
        <f>BS!P9-BS!Q9</f>
        <v>0</v>
      </c>
      <c r="R40" s="103">
        <f t="shared" si="97"/>
        <v>-4.1000000000000009E-2</v>
      </c>
      <c r="S40" s="293">
        <f>BS!R9-BS!S9</f>
        <v>0</v>
      </c>
      <c r="T40" s="293">
        <f>BS!S9-BS!T9</f>
        <v>0.14200000000000002</v>
      </c>
      <c r="U40" s="293">
        <f>BS!T9-BS!U9</f>
        <v>0</v>
      </c>
      <c r="V40" s="293">
        <f>BS!U9-BS!V9</f>
        <v>0</v>
      </c>
      <c r="W40" s="103">
        <f>SUM(S40:V40)</f>
        <v>0.14200000000000002</v>
      </c>
      <c r="X40" s="293">
        <f>BS!W9-BS!X9</f>
        <v>0</v>
      </c>
      <c r="Y40" s="293">
        <f>BS!X9-BS!Y9</f>
        <v>0</v>
      </c>
      <c r="Z40" s="293">
        <f>BS!Y9-BS!Z9</f>
        <v>0</v>
      </c>
      <c r="AA40" s="293">
        <f>BS!Z9-BS!AA9</f>
        <v>0</v>
      </c>
      <c r="AB40" s="103">
        <f>SUM(X40:AA40)</f>
        <v>0</v>
      </c>
      <c r="AC40" s="293">
        <f>BS!AB9-BS!AC9</f>
        <v>8.5999999999999993E-2</v>
      </c>
      <c r="AD40" s="293">
        <f>BS!AC9-BS!AD9</f>
        <v>0</v>
      </c>
      <c r="AE40" s="293">
        <f>BS!AD9-BS!AE9</f>
        <v>0</v>
      </c>
      <c r="AF40" s="293">
        <f>BS!AE9-BS!AF9</f>
        <v>0</v>
      </c>
      <c r="AG40" s="103">
        <f>SUM(AC40:AF40)</f>
        <v>8.5999999999999993E-2</v>
      </c>
      <c r="AH40" s="293">
        <f>BS!AG9-BS!AH9</f>
        <v>0</v>
      </c>
      <c r="AI40" s="293">
        <f>BS!AH9-BS!AI9</f>
        <v>0</v>
      </c>
      <c r="AJ40" s="293">
        <f>BS!AI9-BS!AJ9</f>
        <v>0</v>
      </c>
      <c r="AK40" s="293">
        <f>BS!AJ9-BS!AK9</f>
        <v>0</v>
      </c>
      <c r="AL40" s="103">
        <f>SUM(AH40:AK40)</f>
        <v>0</v>
      </c>
    </row>
    <row r="41" spans="1:38" x14ac:dyDescent="0.35">
      <c r="B41" s="51"/>
      <c r="C41" s="53"/>
      <c r="D41" s="51"/>
      <c r="E41" s="51"/>
      <c r="F41" s="51"/>
      <c r="G41" s="51"/>
      <c r="H41" s="75"/>
      <c r="M41" s="20"/>
      <c r="R41" s="20"/>
      <c r="W41" s="20"/>
      <c r="AB41" s="20"/>
      <c r="AG41" s="20"/>
      <c r="AL41" s="20"/>
    </row>
    <row r="42" spans="1:38" x14ac:dyDescent="0.35">
      <c r="B42" s="51" t="s">
        <v>219</v>
      </c>
      <c r="C42" s="53"/>
      <c r="D42" s="236">
        <f>SUM(D15,D25,D36,D38:D40)</f>
        <v>-12.123999999999995</v>
      </c>
      <c r="E42" s="236">
        <f t="shared" ref="E42:G42" si="98">SUM(E15,E25,E36,E38:E40)</f>
        <v>-4.3969999999999887</v>
      </c>
      <c r="F42" s="236">
        <f t="shared" si="98"/>
        <v>21.693000000000005</v>
      </c>
      <c r="G42" s="236">
        <f t="shared" si="98"/>
        <v>10.336000000000013</v>
      </c>
      <c r="H42" s="103">
        <f t="shared" ref="H42" si="99">SUM(H15,H25,H36,H38:H40)</f>
        <v>15.508000000000038</v>
      </c>
      <c r="I42" s="236">
        <f>SUM(I15,I25,I36,I38:I40)</f>
        <v>12.217999999999996</v>
      </c>
      <c r="J42" s="236">
        <f t="shared" ref="J42:M42" si="100">SUM(J15,J25,J36,J38:J40)</f>
        <v>3.0550000000000255</v>
      </c>
      <c r="K42" s="236">
        <f t="shared" si="100"/>
        <v>132.142</v>
      </c>
      <c r="L42" s="236">
        <f t="shared" si="100"/>
        <v>-160.68400000000005</v>
      </c>
      <c r="M42" s="103">
        <f t="shared" si="100"/>
        <v>-13.269000000000114</v>
      </c>
      <c r="N42" s="236">
        <f>SUM(N15,N25,N36,N38:N40)</f>
        <v>16.457999999999991</v>
      </c>
      <c r="O42" s="236">
        <f t="shared" ref="O42:Q42" si="101">SUM(O15,O25,O36,O38:O40)</f>
        <v>-2.3150000000000373</v>
      </c>
      <c r="P42" s="236">
        <f t="shared" si="101"/>
        <v>32.29200000000003</v>
      </c>
      <c r="Q42" s="236">
        <f t="shared" si="101"/>
        <v>-10.716999999999908</v>
      </c>
      <c r="R42" s="103">
        <f t="shared" ref="R42" si="102">SUM(R15,R25,R36,R38:R40)</f>
        <v>35.717999999999904</v>
      </c>
      <c r="S42" s="236">
        <f>SUM(S15,S25,S36,S38:S40)</f>
        <v>73.912000000000063</v>
      </c>
      <c r="T42" s="236">
        <f t="shared" ref="T42:W42" si="103">SUM(T15,T25,T36,T38:T40)</f>
        <v>-67.000000000000028</v>
      </c>
      <c r="U42" s="236">
        <f t="shared" si="103"/>
        <v>-34.256000000000014</v>
      </c>
      <c r="V42" s="236">
        <f t="shared" si="103"/>
        <v>408.96300000000002</v>
      </c>
      <c r="W42" s="103">
        <f t="shared" si="103"/>
        <v>381.61900000000009</v>
      </c>
      <c r="X42" s="236">
        <f>SUM(X15,X25,X36,X38:X40)</f>
        <v>-62.936999999999998</v>
      </c>
      <c r="Y42" s="236">
        <f t="shared" ref="Y42:AB42" si="104">SUM(Y15,Y25,Y36,Y38:Y40)</f>
        <v>-22.041000000000032</v>
      </c>
      <c r="Z42" s="236">
        <f t="shared" si="104"/>
        <v>287.59700000000009</v>
      </c>
      <c r="AA42" s="236">
        <f t="shared" si="104"/>
        <v>-26.608000000000054</v>
      </c>
      <c r="AB42" s="103">
        <f t="shared" si="104"/>
        <v>176.011</v>
      </c>
      <c r="AC42" s="236">
        <f>SUM(AC15,AC25,AC36,AC38:AC40)</f>
        <v>171.80800000000008</v>
      </c>
      <c r="AD42" s="236">
        <f t="shared" ref="AD42:AG42" si="105">SUM(AD15,AD25,AD36,AD38:AD40)</f>
        <v>-52.371403492713625</v>
      </c>
      <c r="AE42" s="236">
        <f t="shared" si="105"/>
        <v>19.21333699642144</v>
      </c>
      <c r="AF42" s="236">
        <f t="shared" si="105"/>
        <v>16.074327729936325</v>
      </c>
      <c r="AG42" s="103">
        <f t="shared" si="105"/>
        <v>154.7242612336442</v>
      </c>
      <c r="AH42" s="236">
        <f>SUM(AH15,AH25,AH36,AH38:AH40)</f>
        <v>-39.080898237927769</v>
      </c>
      <c r="AI42" s="236">
        <f t="shared" ref="AI42:AL42" si="106">SUM(AI15,AI25,AI36,AI38:AI40)</f>
        <v>63.707407557101462</v>
      </c>
      <c r="AJ42" s="236">
        <f t="shared" si="106"/>
        <v>96.89069743493377</v>
      </c>
      <c r="AK42" s="236">
        <f t="shared" si="106"/>
        <v>95.594137088018769</v>
      </c>
      <c r="AL42" s="103">
        <f t="shared" si="106"/>
        <v>217.11134384212622</v>
      </c>
    </row>
    <row r="43" spans="1:38" x14ac:dyDescent="0.35">
      <c r="B43" s="51" t="s">
        <v>220</v>
      </c>
      <c r="C43" s="53"/>
      <c r="D43" s="179">
        <v>46.4</v>
      </c>
      <c r="E43" s="93">
        <f>D44</f>
        <v>34.276000000000003</v>
      </c>
      <c r="F43" s="93">
        <f t="shared" ref="F43:G43" si="107">E44</f>
        <v>29.879000000000016</v>
      </c>
      <c r="G43" s="93">
        <f t="shared" si="107"/>
        <v>51.572000000000017</v>
      </c>
      <c r="H43" s="98">
        <v>46.4</v>
      </c>
      <c r="I43" s="97">
        <f>H44</f>
        <v>61.908000000000037</v>
      </c>
      <c r="J43" s="93">
        <f>I44</f>
        <v>74.126000000000033</v>
      </c>
      <c r="K43" s="93">
        <f t="shared" ref="K43:L43" si="108">J44</f>
        <v>77.181000000000054</v>
      </c>
      <c r="L43" s="93">
        <f t="shared" si="108"/>
        <v>209.32300000000004</v>
      </c>
      <c r="M43" s="131">
        <f>H44</f>
        <v>61.908000000000037</v>
      </c>
      <c r="N43" s="256">
        <f>M44</f>
        <v>48.638999999999925</v>
      </c>
      <c r="O43" s="256">
        <f>N44</f>
        <v>65.096999999999923</v>
      </c>
      <c r="P43" s="256">
        <f t="shared" ref="P43:Q43" si="109">O44</f>
        <v>62.781999999999883</v>
      </c>
      <c r="Q43" s="256">
        <f t="shared" si="109"/>
        <v>95.073999999999913</v>
      </c>
      <c r="R43" s="131">
        <f>M44</f>
        <v>48.638999999999925</v>
      </c>
      <c r="S43" s="256">
        <f>R44</f>
        <v>84.356999999999829</v>
      </c>
      <c r="T43" s="256">
        <f>S44</f>
        <v>158.26899999999989</v>
      </c>
      <c r="U43" s="256">
        <f t="shared" ref="U43:V43" si="110">T44</f>
        <v>91.268999999999863</v>
      </c>
      <c r="V43" s="256">
        <f t="shared" si="110"/>
        <v>57.012999999999849</v>
      </c>
      <c r="W43" s="131">
        <f>R44</f>
        <v>84.356999999999829</v>
      </c>
      <c r="X43" s="97">
        <f>W44</f>
        <v>465.97599999999989</v>
      </c>
      <c r="Y43" s="93">
        <f>X44</f>
        <v>403.03899999999987</v>
      </c>
      <c r="Z43" s="93">
        <f t="shared" ref="Z43:AA43" si="111">Y44</f>
        <v>380.99799999999982</v>
      </c>
      <c r="AA43" s="93">
        <f t="shared" si="111"/>
        <v>668.59499999999991</v>
      </c>
      <c r="AB43" s="131">
        <f>W44</f>
        <v>465.97599999999989</v>
      </c>
      <c r="AC43" s="97">
        <f>AB44</f>
        <v>641.98699999999985</v>
      </c>
      <c r="AD43" s="93">
        <f>AC44</f>
        <v>813.79499999999996</v>
      </c>
      <c r="AE43" s="93">
        <f t="shared" ref="AE43:AF43" si="112">AD44</f>
        <v>761.42359650728633</v>
      </c>
      <c r="AF43" s="93">
        <f t="shared" si="112"/>
        <v>780.63693350370772</v>
      </c>
      <c r="AG43" s="131">
        <f>AB44</f>
        <v>641.98699999999985</v>
      </c>
      <c r="AH43" s="97">
        <f>AG44</f>
        <v>796.71126123364411</v>
      </c>
      <c r="AI43" s="93">
        <f>AH44</f>
        <v>757.63036299571638</v>
      </c>
      <c r="AJ43" s="93">
        <f t="shared" ref="AJ43:AK43" si="113">AI44</f>
        <v>821.3377705528178</v>
      </c>
      <c r="AK43" s="93">
        <f t="shared" si="113"/>
        <v>918.22846798775163</v>
      </c>
      <c r="AL43" s="131">
        <f>AG44</f>
        <v>796.71126123364411</v>
      </c>
    </row>
    <row r="44" spans="1:38" s="19" customFormat="1" ht="13.9" x14ac:dyDescent="0.4">
      <c r="A44" s="52" t="s">
        <v>36</v>
      </c>
      <c r="B44" s="52" t="s">
        <v>221</v>
      </c>
      <c r="C44" s="76"/>
      <c r="D44" s="73">
        <f>SUM(D42:D43)</f>
        <v>34.276000000000003</v>
      </c>
      <c r="E44" s="73">
        <f t="shared" ref="E44:H44" si="114">SUM(E42:E43)</f>
        <v>29.879000000000016</v>
      </c>
      <c r="F44" s="73">
        <f t="shared" si="114"/>
        <v>51.572000000000017</v>
      </c>
      <c r="G44" s="73">
        <f t="shared" si="114"/>
        <v>61.90800000000003</v>
      </c>
      <c r="H44" s="74">
        <f t="shared" si="114"/>
        <v>61.908000000000037</v>
      </c>
      <c r="I44" s="73">
        <f>SUM(I42:I43)</f>
        <v>74.126000000000033</v>
      </c>
      <c r="J44" s="73">
        <f t="shared" ref="J44" si="115">SUM(J42:J43)</f>
        <v>77.181000000000054</v>
      </c>
      <c r="K44" s="73">
        <f t="shared" ref="K44" si="116">SUM(K42:K43)</f>
        <v>209.32300000000004</v>
      </c>
      <c r="L44" s="73">
        <f t="shared" ref="L44" si="117">SUM(L42:L43)</f>
        <v>48.638999999999982</v>
      </c>
      <c r="M44" s="74">
        <f t="shared" ref="M44" si="118">SUM(M42:M43)</f>
        <v>48.638999999999925</v>
      </c>
      <c r="N44" s="73">
        <f>SUM(N42:N43)</f>
        <v>65.096999999999923</v>
      </c>
      <c r="O44" s="73">
        <f t="shared" ref="O44" si="119">SUM(O42:O43)</f>
        <v>62.781999999999883</v>
      </c>
      <c r="P44" s="73">
        <f t="shared" ref="P44" si="120">SUM(P42:P43)</f>
        <v>95.073999999999913</v>
      </c>
      <c r="Q44" s="73">
        <f t="shared" ref="Q44" si="121">SUM(Q42:Q43)</f>
        <v>84.356999999999999</v>
      </c>
      <c r="R44" s="74">
        <f t="shared" ref="R44" si="122">SUM(R42:R43)</f>
        <v>84.356999999999829</v>
      </c>
      <c r="S44" s="73">
        <f>SUM(S42:S43)</f>
        <v>158.26899999999989</v>
      </c>
      <c r="T44" s="73">
        <f t="shared" ref="T44" si="123">SUM(T42:T43)</f>
        <v>91.268999999999863</v>
      </c>
      <c r="U44" s="73">
        <f t="shared" ref="U44" si="124">SUM(U42:U43)</f>
        <v>57.012999999999849</v>
      </c>
      <c r="V44" s="73">
        <f t="shared" ref="V44" si="125">SUM(V42:V43)</f>
        <v>465.97599999999989</v>
      </c>
      <c r="W44" s="74">
        <f t="shared" ref="W44" si="126">SUM(W42:W43)</f>
        <v>465.97599999999989</v>
      </c>
      <c r="X44" s="73">
        <f>SUM(X42:X43)</f>
        <v>403.03899999999987</v>
      </c>
      <c r="Y44" s="73">
        <f t="shared" ref="Y44" si="127">SUM(Y42:Y43)</f>
        <v>380.99799999999982</v>
      </c>
      <c r="Z44" s="73">
        <f t="shared" ref="Z44" si="128">SUM(Z42:Z43)</f>
        <v>668.59499999999991</v>
      </c>
      <c r="AA44" s="73">
        <f t="shared" ref="AA44" si="129">SUM(AA42:AA43)</f>
        <v>641.98699999999985</v>
      </c>
      <c r="AB44" s="74">
        <f t="shared" ref="AB44" si="130">SUM(AB42:AB43)</f>
        <v>641.98699999999985</v>
      </c>
      <c r="AC44" s="73">
        <f>SUM(AC42:AC43)</f>
        <v>813.79499999999996</v>
      </c>
      <c r="AD44" s="73">
        <f t="shared" ref="AD44" si="131">SUM(AD42:AD43)</f>
        <v>761.42359650728633</v>
      </c>
      <c r="AE44" s="73">
        <f t="shared" ref="AE44" si="132">SUM(AE42:AE43)</f>
        <v>780.63693350370772</v>
      </c>
      <c r="AF44" s="73">
        <f t="shared" ref="AF44:AG44" si="133">SUM(AF42:AF43)</f>
        <v>796.711261233644</v>
      </c>
      <c r="AG44" s="74">
        <f t="shared" si="133"/>
        <v>796.71126123364411</v>
      </c>
      <c r="AH44" s="73">
        <f>SUM(AH42:AH43)</f>
        <v>757.63036299571638</v>
      </c>
      <c r="AI44" s="73">
        <f t="shared" ref="AI44" si="134">SUM(AI42:AI43)</f>
        <v>821.3377705528178</v>
      </c>
      <c r="AJ44" s="73">
        <f t="shared" ref="AJ44" si="135">SUM(AJ42:AJ43)</f>
        <v>918.22846798775163</v>
      </c>
      <c r="AK44" s="73">
        <f t="shared" ref="AK44" si="136">SUM(AK42:AK43)</f>
        <v>1013.8226050757704</v>
      </c>
      <c r="AL44" s="74">
        <f t="shared" ref="AL44" si="137">SUM(AL42:AL43)</f>
        <v>1013.8226050757703</v>
      </c>
    </row>
    <row r="45" spans="1:38" s="29" customFormat="1" x14ac:dyDescent="0.35">
      <c r="A45" s="115"/>
    </row>
    <row r="46" spans="1:38" x14ac:dyDescent="0.35">
      <c r="A46" s="52" t="s">
        <v>234</v>
      </c>
      <c r="B46" s="52" t="s">
        <v>79</v>
      </c>
      <c r="C46" s="14"/>
    </row>
  </sheetData>
  <phoneticPr fontId="1" type="noConversion"/>
  <pageMargins left="0.39370078740157483" right="0" top="0.19685039370078741" bottom="0" header="0.31496062992125984" footer="0"/>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Inputs</vt:lpstr>
      <vt:lpstr>Cover</vt:lpstr>
      <vt:lpstr>Revenue Buildup</vt:lpstr>
      <vt:lpstr>Valuation</vt:lpstr>
      <vt:lpstr>IS</vt:lpstr>
      <vt:lpstr>BS</vt:lpstr>
      <vt:lpstr>CF</vt:lpstr>
      <vt:lpstr>Name</vt:lpstr>
      <vt:lpstr>BS!Print_Area</vt:lpstr>
      <vt:lpstr>CF!Print_Area</vt:lpstr>
      <vt:lpstr>Cover!Print_Area</vt:lpstr>
      <vt:lpstr>Inputs!Print_Area</vt:lpstr>
      <vt:lpstr>IS!Print_Area</vt:lpstr>
      <vt:lpstr>'Revenue Buildup'!Print_Area</vt:lpstr>
      <vt:lpstr>Valuation!Print_Area</vt:lpstr>
      <vt:lpstr>Subheader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Jeff.G</dc:creator>
  <cp:lastModifiedBy>Jeff.G</cp:lastModifiedBy>
  <cp:lastPrinted>2024-09-01T17:52:29Z</cp:lastPrinted>
  <dcterms:created xsi:type="dcterms:W3CDTF">2015-06-05T18:17:20Z</dcterms:created>
  <dcterms:modified xsi:type="dcterms:W3CDTF">2024-09-06T04:35:52Z</dcterms:modified>
</cp:coreProperties>
</file>